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rcelo2021\Desktop\Puro_Hibrido\"/>
    </mc:Choice>
  </mc:AlternateContent>
  <xr:revisionPtr revIDLastSave="0" documentId="13_ncr:1_{276F16E0-1E4F-4B54-875C-825A7F6A6B14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Dashboard" sheetId="1" r:id="rId1"/>
    <sheet name="Base_Dados" sheetId="2" r:id="rId2"/>
    <sheet name="Calc_Convencional" sheetId="3" r:id="rId3"/>
    <sheet name="Calc_Hibrido" sheetId="4" r:id="rId4"/>
  </sheets>
  <definedNames>
    <definedName name="_xlnm._FilterDatabase" localSheetId="1" hidden="1">Base_Dados!$A$2:$O$32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" i="4" l="1"/>
  <c r="C89" i="3"/>
  <c r="H20" i="1" s="1"/>
  <c r="C88" i="3"/>
  <c r="H19" i="1" s="1"/>
  <c r="C87" i="3"/>
  <c r="H18" i="1" s="1"/>
  <c r="C86" i="3"/>
  <c r="H17" i="1" s="1"/>
  <c r="C85" i="3"/>
  <c r="H16" i="1" s="1"/>
  <c r="C23" i="3"/>
  <c r="C14" i="3"/>
  <c r="C7" i="3"/>
  <c r="C6" i="3"/>
  <c r="C4" i="3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3" i="2"/>
  <c r="F53" i="1"/>
  <c r="J53" i="1" s="1"/>
  <c r="F52" i="1"/>
  <c r="J52" i="1" s="1"/>
  <c r="F51" i="1"/>
  <c r="J51" i="1" s="1"/>
  <c r="F50" i="1"/>
  <c r="J50" i="1" s="1"/>
  <c r="J49" i="1"/>
  <c r="F49" i="1"/>
  <c r="F48" i="1"/>
  <c r="J48" i="1" s="1"/>
  <c r="F47" i="1"/>
  <c r="J47" i="1" s="1"/>
  <c r="F46" i="1"/>
  <c r="J46" i="1" s="1"/>
  <c r="F45" i="1"/>
  <c r="J45" i="1" s="1"/>
  <c r="F44" i="1"/>
  <c r="J44" i="1" s="1"/>
  <c r="F43" i="1"/>
  <c r="J43" i="1" s="1"/>
  <c r="F42" i="1"/>
  <c r="J42" i="1" s="1"/>
  <c r="J41" i="1"/>
  <c r="F40" i="1"/>
  <c r="J40" i="1" s="1"/>
  <c r="F39" i="1"/>
  <c r="J39" i="1" s="1"/>
  <c r="F38" i="1"/>
  <c r="J38" i="1" s="1"/>
  <c r="J55" i="1" s="1"/>
  <c r="C21" i="4" s="1"/>
  <c r="C32" i="1"/>
  <c r="C5" i="3" s="1"/>
  <c r="H30" i="1"/>
  <c r="F30" i="1"/>
  <c r="J30" i="1" s="1"/>
  <c r="C17" i="4" s="1"/>
  <c r="H29" i="1"/>
  <c r="F29" i="1"/>
  <c r="J29" i="1" s="1"/>
  <c r="C16" i="4" s="1"/>
  <c r="H28" i="1"/>
  <c r="F28" i="1"/>
  <c r="J28" i="1" s="1"/>
  <c r="C15" i="4" s="1"/>
  <c r="H27" i="1"/>
  <c r="F27" i="1"/>
  <c r="J27" i="1" s="1"/>
  <c r="C14" i="4" s="1"/>
  <c r="H26" i="1"/>
  <c r="F26" i="1"/>
  <c r="J26" i="1" s="1"/>
  <c r="C13" i="4" s="1"/>
  <c r="H25" i="1"/>
  <c r="F25" i="1"/>
  <c r="J25" i="1" s="1"/>
  <c r="C12" i="4" s="1"/>
  <c r="H24" i="1"/>
  <c r="F24" i="1"/>
  <c r="J24" i="1" s="1"/>
  <c r="F20" i="1"/>
  <c r="J20" i="1" s="1"/>
  <c r="C10" i="4" s="1"/>
  <c r="F19" i="1"/>
  <c r="J19" i="1" s="1"/>
  <c r="C9" i="4" s="1"/>
  <c r="F18" i="1"/>
  <c r="J18" i="1" s="1"/>
  <c r="C8" i="4" s="1"/>
  <c r="F17" i="1"/>
  <c r="J17" i="1" s="1"/>
  <c r="C7" i="4" s="1"/>
  <c r="F16" i="1"/>
  <c r="J16" i="1" s="1"/>
  <c r="C6" i="4" s="1"/>
  <c r="F15" i="1"/>
  <c r="J15" i="1" s="1"/>
  <c r="H31" i="1" l="1"/>
  <c r="C92" i="3" s="1"/>
  <c r="C12" i="3"/>
  <c r="C9" i="3"/>
  <c r="C8" i="3" s="1"/>
  <c r="C11" i="3"/>
  <c r="C102" i="3"/>
  <c r="C103" i="3"/>
  <c r="C100" i="3"/>
  <c r="C105" i="3"/>
  <c r="C24" i="3"/>
  <c r="C101" i="3"/>
  <c r="C104" i="3"/>
  <c r="C15" i="3"/>
  <c r="C11" i="4"/>
  <c r="J31" i="1"/>
  <c r="J21" i="1"/>
  <c r="C5" i="4"/>
  <c r="J32" i="1" l="1"/>
  <c r="C19" i="4" s="1"/>
  <c r="C77" i="3"/>
  <c r="C79" i="3"/>
  <c r="J10" i="1"/>
  <c r="C78" i="3"/>
  <c r="C80" i="3"/>
  <c r="C95" i="3"/>
  <c r="C76" i="3"/>
  <c r="C28" i="3"/>
  <c r="C27" i="3"/>
  <c r="C29" i="3"/>
  <c r="C25" i="3"/>
  <c r="C26" i="3"/>
  <c r="C20" i="3"/>
  <c r="C52" i="3" s="1"/>
  <c r="C17" i="3"/>
  <c r="C16" i="3"/>
  <c r="C21" i="3"/>
  <c r="C51" i="3" s="1"/>
  <c r="C53" i="3"/>
  <c r="C18" i="3"/>
  <c r="C34" i="3" s="1"/>
  <c r="C24" i="4" l="1"/>
  <c r="J64" i="1" s="1"/>
  <c r="C23" i="4"/>
  <c r="H60" i="1" s="1"/>
  <c r="C43" i="3"/>
  <c r="C44" i="3" s="1"/>
  <c r="C69" i="3"/>
  <c r="C70" i="3"/>
  <c r="C39" i="3"/>
  <c r="C40" i="3" s="1"/>
  <c r="C41" i="3"/>
  <c r="C42" i="3" s="1"/>
  <c r="C62" i="3"/>
  <c r="C63" i="3" s="1"/>
  <c r="C60" i="3"/>
  <c r="C61" i="3" s="1"/>
  <c r="C45" i="3"/>
  <c r="C46" i="3" s="1"/>
  <c r="C71" i="3"/>
  <c r="C37" i="3"/>
  <c r="C38" i="3" s="1"/>
  <c r="C50" i="3"/>
  <c r="C33" i="3"/>
  <c r="C56" i="3" l="1"/>
  <c r="C57" i="3" s="1"/>
  <c r="C58" i="3" s="1"/>
  <c r="C65" i="3" s="1"/>
  <c r="C54" i="3"/>
  <c r="C55" i="3"/>
  <c r="C84" i="3"/>
  <c r="C107" i="3"/>
  <c r="C108" i="3" s="1"/>
  <c r="C68" i="3"/>
  <c r="C72" i="3" s="1"/>
  <c r="C74" i="3" s="1"/>
  <c r="C35" i="3"/>
  <c r="C47" i="3"/>
  <c r="H15" i="1" l="1"/>
  <c r="H21" i="1" s="1"/>
  <c r="C91" i="3"/>
  <c r="C94" i="3" s="1"/>
  <c r="C96" i="3" s="1"/>
  <c r="C112" i="3"/>
  <c r="C115" i="3" s="1"/>
  <c r="C122" i="3" s="1"/>
  <c r="C110" i="3"/>
  <c r="C113" i="3"/>
  <c r="C111" i="3"/>
  <c r="C109" i="3"/>
  <c r="C116" i="3" s="1"/>
  <c r="H59" i="1" l="1"/>
  <c r="C27" i="4"/>
  <c r="C114" i="3"/>
  <c r="C10" i="3"/>
  <c r="H32" i="1"/>
  <c r="C121" i="3" s="1"/>
  <c r="F59" i="1" l="1"/>
  <c r="J59" i="1"/>
  <c r="C26" i="4"/>
  <c r="C28" i="4" s="1"/>
  <c r="F60" i="1" l="1"/>
  <c r="C30" i="4"/>
  <c r="J60" i="1" s="1"/>
  <c r="J61" i="1" l="1"/>
  <c r="B63" i="1"/>
</calcChain>
</file>

<file path=xl/sharedStrings.xml><?xml version="1.0" encoding="utf-8"?>
<sst xmlns="http://schemas.openxmlformats.org/spreadsheetml/2006/main" count="295" uniqueCount="239">
  <si>
    <t>MRHENRIQUE ASSESSORIA CONTÁBIL E AVALIAÇÕES PERICIAIS LTDA.</t>
  </si>
  <si>
    <t>Simples Nacional — CBS Convencional vs. Regime Híbrido  |  LC 123/2006 × LC 214/2025</t>
  </si>
  <si>
    <t>▌ 1. PREMISSAS GERAIS</t>
  </si>
  <si>
    <t>Anexo  (I=Comércio | II=Indústria | III=Serv.ISS | IV=Serv.s/CPP | V=Serv.r)</t>
  </si>
  <si>
    <t>I</t>
  </si>
  <si>
    <t>RBT12 — Receita Bruta 12 meses anteriores (R$)</t>
  </si>
  <si>
    <t>Receita Bruta Acumulada (RBA)</t>
  </si>
  <si>
    <t>Exercício de Referência</t>
  </si>
  <si>
    <t>Alíquota de Referência CBS (%)</t>
  </si>
  <si>
    <t>Sublimite anual ICMS/ISS/IBS (R$)</t>
  </si>
  <si>
    <t>Excesso pela RBT12?</t>
  </si>
  <si>
    <t>▌ 2. RECEITA DO MÊS — SEGREGAÇÃO POR TIPO</t>
  </si>
  <si>
    <t>Tipo de Receita / Situação</t>
  </si>
  <si>
    <t>Receita (R$)</t>
  </si>
  <si>
    <t>Regra CBS por fora</t>
  </si>
  <si>
    <t>Alíq. CBS efetiva</t>
  </si>
  <si>
    <t>DAS ajustado (R$)</t>
  </si>
  <si>
    <t>Débito CBS (R$)</t>
  </si>
  <si>
    <t xml:space="preserve">  BLOCO A — BASE DO DAS CONVENCIONAL  (CBS por fora à alíquota cheia ou zero conforme o caso)</t>
  </si>
  <si>
    <t>Tributado integralmente</t>
  </si>
  <si>
    <t>Alíq. cheia</t>
  </si>
  <si>
    <t>Tributado integralmente + ICMS-ST</t>
  </si>
  <si>
    <t>Alíq. cheia (ICMS já na ST)</t>
  </si>
  <si>
    <t>Tributado integralmente + CBS monofásico</t>
  </si>
  <si>
    <t>Sem CBS (já recolhido na fonte)</t>
  </si>
  <si>
    <t>Tributado integralmente + ICMS-ST + CBS monofásico</t>
  </si>
  <si>
    <t>Com retenção de ISS + CBS Alíq. Cheia</t>
  </si>
  <si>
    <t>Alíq. cheia (ISS já retido)</t>
  </si>
  <si>
    <t>Com retenção de ISS + CBS Redução 30%</t>
  </si>
  <si>
    <t>ISS já retido e redução de 30% (profissões regulamentadas)</t>
  </si>
  <si>
    <t>SUBTOTAL BLOCO A</t>
  </si>
  <si>
    <t xml:space="preserve">  BLOCO B — RECEITAS COM REDUÇÃO DE CBS  (DAS normal — só afeta CBS por fora)</t>
  </si>
  <si>
    <t>Tributado integralmente — CBS alíquota cheia</t>
  </si>
  <si>
    <t>Alíq. cheia (sem redução)</t>
  </si>
  <si>
    <t>Alíquota Zero</t>
  </si>
  <si>
    <t>Zero CBS</t>
  </si>
  <si>
    <t>Redução 30%  →  CBS efetiva 70%</t>
  </si>
  <si>
    <t>70% da alíq. ref.</t>
  </si>
  <si>
    <t>Redução 40%  →  CBS efetiva 60%</t>
  </si>
  <si>
    <t>60% da alíq. ref.</t>
  </si>
  <si>
    <t>Redução 50%  →  CBS efetiva 50%</t>
  </si>
  <si>
    <t>50% da alíq. ref.</t>
  </si>
  <si>
    <t>Redução 60%  →  CBS efetiva 40%</t>
  </si>
  <si>
    <t>40% da alíq. ref.</t>
  </si>
  <si>
    <t>Redução 70%  →  CBS efetiva 30%</t>
  </si>
  <si>
    <t>30% da alíq. ref.</t>
  </si>
  <si>
    <t>SUBTOTAL BLOCO B</t>
  </si>
  <si>
    <t>TOTAL GERAL — RECEITA DO MÊS</t>
  </si>
  <si>
    <t>DAS ajustado: ICMS-ST desconta %ICMS | Monofásico desconta %PIS+%Cofins | ISS retido desconta %ISS  —  LC 123/2006 Art. 18 §§1º e 4º</t>
  </si>
  <si>
    <t>▌ 3. DRE — CRÉDITOS DE CBS  (Regime Híbrido | Arts. 28–45 LC 214/2025)</t>
  </si>
  <si>
    <t>Despesa</t>
  </si>
  <si>
    <t>Valor (R$)</t>
  </si>
  <si>
    <t>Regra de Crédito CBS</t>
  </si>
  <si>
    <t>Alíq. Efetiva Crédito</t>
  </si>
  <si>
    <t>Crédito CBS (R$)</t>
  </si>
  <si>
    <t>Estoque / CMV — Crédito Integral</t>
  </si>
  <si>
    <t>Crédito Integral (100%)</t>
  </si>
  <si>
    <t>Estoque / CMV — Redução 60%</t>
  </si>
  <si>
    <t>Redução 60% → 40% da alíq.</t>
  </si>
  <si>
    <t>Estoque / CMV — Alíquota Zero  (sem crédito)</t>
  </si>
  <si>
    <t>Alíquota zero — sem crédito</t>
  </si>
  <si>
    <t xml:space="preserve">Estoque / CMV — Crédito Presumido  </t>
  </si>
  <si>
    <t>Crédito presumido — informe a alíq. no campo amarelo →</t>
  </si>
  <si>
    <t>Aluguel</t>
  </si>
  <si>
    <t>Redução 70% → 30% alíq</t>
  </si>
  <si>
    <t>Contabilidade</t>
  </si>
  <si>
    <t>Redução 30% → 70% alíq</t>
  </si>
  <si>
    <t>Advocacia</t>
  </si>
  <si>
    <t>Energia Elétrica</t>
  </si>
  <si>
    <t>Telefone / Internet</t>
  </si>
  <si>
    <t>Água / Saneamento</t>
  </si>
  <si>
    <t>Material de Escritório / Uso e Consumo</t>
  </si>
  <si>
    <t>Folha de Pagamentos</t>
  </si>
  <si>
    <t>Não onerada — sem crédito</t>
  </si>
  <si>
    <t>Encargos Sociais (INSS / FGTS)</t>
  </si>
  <si>
    <t>Pró-Labore</t>
  </si>
  <si>
    <t>Outras Despesas c/ Crédito Integral</t>
  </si>
  <si>
    <t>Outras Despesas Sem Crédito</t>
  </si>
  <si>
    <t>TOTAL DE CRÉDITOS DE CBS</t>
  </si>
  <si>
    <t>▌ 4. RESULTADO — COMPARATIVO E DECISÃO</t>
  </si>
  <si>
    <t>Regime</t>
  </si>
  <si>
    <t>DAS (R$)</t>
  </si>
  <si>
    <t>CBS (R$)</t>
  </si>
  <si>
    <t>TOTAL (R$)</t>
  </si>
  <si>
    <t>Simples Convencional (CBS dentro do DAS)</t>
  </si>
  <si>
    <t>Regime Híbrido (DAS reduzido + CBS fora)</t>
  </si>
  <si>
    <t>Diferença (Economia)</t>
  </si>
  <si>
    <t>Saldo Credor CBS gerado no Regime Híbrido (acumula para mês seguinte):</t>
  </si>
  <si>
    <t>Academia Elite Fiscal  |  @bruno.vianamacedo  |  #souelitefiscal  |  LC 123/2006 × LC 214/2025 | V3</t>
  </si>
  <si>
    <t>BASE DE DADOS — TABELAS LC 214/2025 (Anexos I a V)</t>
  </si>
  <si>
    <t>Anexo</t>
  </si>
  <si>
    <t>Faixa</t>
  </si>
  <si>
    <t>Lim. Inferior</t>
  </si>
  <si>
    <t>Lim. Superior</t>
  </si>
  <si>
    <t>Alíquota</t>
  </si>
  <si>
    <t>Ded. (R$)</t>
  </si>
  <si>
    <t>IRPJ%</t>
  </si>
  <si>
    <t>CSLL%</t>
  </si>
  <si>
    <t>CBS</t>
  </si>
  <si>
    <t>CPP</t>
  </si>
  <si>
    <t>ICMS</t>
  </si>
  <si>
    <t>IBS</t>
  </si>
  <si>
    <t>IPI%</t>
  </si>
  <si>
    <t>ISS</t>
  </si>
  <si>
    <t>Chave</t>
  </si>
  <si>
    <t>Aplica Excedente ISS?</t>
  </si>
  <si>
    <t>Limite ISS Efetivo</t>
  </si>
  <si>
    <t>Redist. IRPJ</t>
  </si>
  <si>
    <t>Redist. CSLL</t>
  </si>
  <si>
    <t>Redist. CBS</t>
  </si>
  <si>
    <t>Redist. CPP</t>
  </si>
  <si>
    <t>Total Redistribuição</t>
  </si>
  <si>
    <t>Não</t>
  </si>
  <si>
    <t>II</t>
  </si>
  <si>
    <t>III</t>
  </si>
  <si>
    <t>Sim</t>
  </si>
  <si>
    <t>IV</t>
  </si>
  <si>
    <t>V</t>
  </si>
  <si>
    <t>CÁLCULO CBS — REGIME CONVENCIONAL (Por Dentro do DAS)</t>
  </si>
  <si>
    <t>LC 123/2006 Art. 18 — Alíquota Efetiva × % CBS (PIS%+Cofins%) na Repartição</t>
  </si>
  <si>
    <t>── INPUTS ──</t>
  </si>
  <si>
    <t>Anexo Selecionado</t>
  </si>
  <si>
    <t>Receita Bruta do mês</t>
  </si>
  <si>
    <t>RBT12 — Receita 12 Meses (R$)</t>
  </si>
  <si>
    <t>RBA (Receita Bruta Acumulada)</t>
  </si>
  <si>
    <t>Receita que NÃO excedeu o sublimite</t>
  </si>
  <si>
    <t>Receita que EXCEDEU o sublimite</t>
  </si>
  <si>
    <t>DAS Total (valor apurado)</t>
  </si>
  <si>
    <t>Excede sublimite pela RBT12?</t>
  </si>
  <si>
    <t>Excede sublimite pela RBA?</t>
  </si>
  <si>
    <t>── LOOKUP BASE DE DADOS ──</t>
  </si>
  <si>
    <t>Faixa Encontrada</t>
  </si>
  <si>
    <t>Chave (Anexo_Faixa)</t>
  </si>
  <si>
    <t>Alíquota Nominal</t>
  </si>
  <si>
    <t>Parcela a Deduzir (R$)</t>
  </si>
  <si>
    <t>% CBS na Repartição</t>
  </si>
  <si>
    <t>% PIS na Repartição</t>
  </si>
  <si>
    <t>% ISS na Repartição</t>
  </si>
  <si>
    <t>% ICMS na Repartição</t>
  </si>
  <si>
    <t>Sublimite anual ICMS/ISS/IBS</t>
  </si>
  <si>
    <t>Chave 5ª faixa</t>
  </si>
  <si>
    <t>Alíquota nominal 5ª faixa</t>
  </si>
  <si>
    <t>Parcela a deduzir 5ª faixa</t>
  </si>
  <si>
    <t>% ICMS 5ª faixa</t>
  </si>
  <si>
    <t>% ISS 5ª faixa</t>
  </si>
  <si>
    <t>% IBS 5ª faixa</t>
  </si>
  <si>
    <t>── CÁLCULO NORMAL (SEM EXCESSO DE SUBLIMITE)──</t>
  </si>
  <si>
    <t>Alíquota Efetiva Global</t>
  </si>
  <si>
    <t>% CBS na Repartição (PIS% + Cofins%)</t>
  </si>
  <si>
    <t>Alíquota Efetiva CBS</t>
  </si>
  <si>
    <t>── SUBLIMITE - RBA acima do sublimite e RBT12 na 6ª faixa ──</t>
  </si>
  <si>
    <t>1. Alíquota Efetiva Tributos Federais</t>
  </si>
  <si>
    <t>1. Valor dos Tributos Federais</t>
  </si>
  <si>
    <t>2. Percentual Efetivo de ICMS sobre a receita que NÃO excedeu o sublimite:</t>
  </si>
  <si>
    <t>2. Valor do ICMS sobre a receita do mês que NÃO ultrapassou o sublimite:</t>
  </si>
  <si>
    <t>3. Percentual do ICMS sobre a receita do mês que ultrapassou o sublimite</t>
  </si>
  <si>
    <t>3. Valor do ICMS sobre a receita do mês que ultrapassou o sublimite</t>
  </si>
  <si>
    <t>4. Percentual Efetivo de IBS sobre a receita que NÃO excedeu o sublimite</t>
  </si>
  <si>
    <t>4. Valor de IBS sobre a receita que NÃO excedeu o sublimite</t>
  </si>
  <si>
    <t>5. Percentual Efetivo de IBS sobre a receita que ultrapassou o sublimite</t>
  </si>
  <si>
    <t>5. Valor de IBS sobre a receita que ultrapassou o sublimite</t>
  </si>
  <si>
    <t>VALOR TOTAL DE TRIBUTOS PARA O CASO DE SUBLIMITE</t>
  </si>
  <si>
    <t>── SUBLIMITE - RBA acima do sublimite e RBT12 na 5ª faixa ──</t>
  </si>
  <si>
    <t>Alíquota efetiva bruta da faixa atual</t>
  </si>
  <si>
    <t>% ICMS da faixa atual</t>
  </si>
  <si>
    <t>% ISS da faixa atual</t>
  </si>
  <si>
    <t>% IBS da faixa atual</t>
  </si>
  <si>
    <t xml:space="preserve">Percentual efetivo de ICMS </t>
  </si>
  <si>
    <t>Percentual efetivo de ISS</t>
  </si>
  <si>
    <t>Percentual efetivo de IBS</t>
  </si>
  <si>
    <t>Alíquota efetiva da 5ª faixa sem o ICMS e o IBS</t>
  </si>
  <si>
    <t>Cálculo dos tributos (IRPJ, CSLL, CBS e CPP) sobre toda a receita do mês</t>
  </si>
  <si>
    <t>Porcentagem do ICMS sobre toda a receita do mês</t>
  </si>
  <si>
    <t>Valor do ICMS sobre toda a receita do mês</t>
  </si>
  <si>
    <t>Porcentagem do IBS sobre toda a receita do mês</t>
  </si>
  <si>
    <t>Valor do IBS sobre toda a receita do mês</t>
  </si>
  <si>
    <t xml:space="preserve"> Valor total de tributos a recolher no PA</t>
  </si>
  <si>
    <t>── SUBLIMITE - RBA abaixo do sublimite e RBT12 na 6ª faixa ──</t>
  </si>
  <si>
    <t>Alíquota Efetiva na Faixa 6</t>
  </si>
  <si>
    <t>Alíquota Efetiva do ICMS</t>
  </si>
  <si>
    <t>Alíquota Efetiva do ISS</t>
  </si>
  <si>
    <t>Alíquota Efetiva do IBS</t>
  </si>
  <si>
    <t>Alíquota Efetiva Total</t>
  </si>
  <si>
    <t>Alíquota Efetiva ISS sobre a receita que NÃO excedeu o sublimite</t>
  </si>
  <si>
    <t>Alíquota Efetiva ISS sobre a receita que EXCEDEU o sublimite</t>
  </si>
  <si>
    <t>Valor do ISS sobre a receita que NÃO excedeu o sublimite</t>
  </si>
  <si>
    <t>Valor do ISS sobre a receita que EXCEDEU o sublimite</t>
  </si>
  <si>
    <t>Valor total do ISS no caso RBA acima e RBT12 na 6ª faixa</t>
  </si>
  <si>
    <t>── DAS AJUSTADO POR TIPO DE RECEITA — BLOCO A ──</t>
  </si>
  <si>
    <t>Tributado integralmente + PIS/Cofins monofásico</t>
  </si>
  <si>
    <t>Tributado integralmente + ICMS-ST + PIS/Cofins monofásico</t>
  </si>
  <si>
    <t>Subtotal Bloco A — cálculo normal</t>
  </si>
  <si>
    <t>Subtotal Bloco B — cálculo normal</t>
  </si>
  <si>
    <t>DAS calculado por tipo de receita</t>
  </si>
  <si>
    <t>Regra aplicada ao DAS</t>
  </si>
  <si>
    <t>DAS total final conforme regra aplicada</t>
  </si>
  <si>
    <t>── Excedente de ISS ──</t>
  </si>
  <si>
    <t>Alíquota Efetiva ISS Bruta</t>
  </si>
  <si>
    <t>Excedente do ISS</t>
  </si>
  <si>
    <t>Alíquota Efetiva ISS Final</t>
  </si>
  <si>
    <t>Acréscimo IRPJ pelo Excedente ISS</t>
  </si>
  <si>
    <t>Acréscimo CSLL pelo Excedente ISS</t>
  </si>
  <si>
    <t>Acréscimo CBS pelo Excedente ISS</t>
  </si>
  <si>
    <t>Acréscimo CPP pelo Excedente ISS</t>
  </si>
  <si>
    <t>Conferência Redistribuição</t>
  </si>
  <si>
    <t>Alíquota Efetiva CBS Final</t>
  </si>
  <si>
    <t>Alíquota DAS com ISS Retido</t>
  </si>
  <si>
    <t>── OUTPUTS ──</t>
  </si>
  <si>
    <t>⚡ DAS TOTAL (valor do mês)</t>
  </si>
  <si>
    <t>⚡ CBS DENTRO DO DAS</t>
  </si>
  <si>
    <t>CÁLCULO CBS — REGIME HÍBRIDO (Por Fora do DAS — Não Cumulativo)</t>
  </si>
  <si>
    <t>Arts. 28–45 LC 214/2025 — Débito por faixa de redução – Créditos DRE = CBS a Recolher</t>
  </si>
  <si>
    <t>── DÉBITOS CBS POR TIPO DE RECEITA ──</t>
  </si>
  <si>
    <t>Alíquota CBS de Referência</t>
  </si>
  <si>
    <t>Débito — Tributado integralmente</t>
  </si>
  <si>
    <t>Débito — Trib. integral + ICMS-ST</t>
  </si>
  <si>
    <t>Débito — Trib. integral + PIS/Cofins monofásico (=0)</t>
  </si>
  <si>
    <t>Débito — Trib. integral + ICMS-ST + monofásico (=0)</t>
  </si>
  <si>
    <t>Débito — Com retenção de ISS + CBS Alíq. Cheia</t>
  </si>
  <si>
    <t>Débito — Com retenção de ISS + CBS Redução 30%</t>
  </si>
  <si>
    <t>Débito — Bloco B: Tributado integralmente (CBS Alíq. Cheia)</t>
  </si>
  <si>
    <t>Débito — Alíquota Zero (=0)</t>
  </si>
  <si>
    <t>Débito — Redução 30%</t>
  </si>
  <si>
    <t>Débito — Redução 40%</t>
  </si>
  <si>
    <t>Débito — Redução 50%</t>
  </si>
  <si>
    <t>Débito — Redução 60%</t>
  </si>
  <si>
    <t>Débito — Redução 70%</t>
  </si>
  <si>
    <t>TOTAL DÉBITO CBS</t>
  </si>
  <si>
    <t>── CRÉDITOS ──</t>
  </si>
  <si>
    <t>Total Créditos CBS (DRE)</t>
  </si>
  <si>
    <t>── RESULTADO ──</t>
  </si>
  <si>
    <t>⚡ CBS HÍBRIDA A RECOLHER</t>
  </si>
  <si>
    <t>Saldo Credor Gerado</t>
  </si>
  <si>
    <t>── DAS REDUZIDO ──</t>
  </si>
  <si>
    <t>DAS Total (convencional)</t>
  </si>
  <si>
    <t>CBS que estava dentro do DAS</t>
  </si>
  <si>
    <t>⚡ DAS REDUZIDO (sem CBS)</t>
  </si>
  <si>
    <t>── TOTAL HÍBRIDO ──</t>
  </si>
  <si>
    <t>⚡ TOTAL A PAGAR (DAS red. + CBS fora)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</si>
</sst>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%"/>
    <numFmt numFmtId="165" formatCode="#,##0.0000"/>
    <numFmt numFmtId="166" formatCode="#,##0.000000000"/>
    <numFmt numFmtId="167" formatCode="0.0000000%"/>
  </numFmts>
  <fonts count="31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  <charset val="1"/>
    </font>
    <font>
      <sz val="10"/>
      <color rgb="FFFFFFFF"/>
      <name val="Arial"/>
      <family val="2"/>
      <charset val="1"/>
    </font>
    <font>
      <b/>
      <sz val="11"/>
      <color rgb="FFFFFFFF"/>
      <name val="Arial"/>
      <family val="2"/>
      <charset val="1"/>
    </font>
    <font>
      <sz val="10"/>
      <color rgb="FF1A1A2E"/>
      <name val="Arial"/>
      <family val="2"/>
      <charset val="1"/>
    </font>
    <font>
      <b/>
      <sz val="10"/>
      <color rgb="FF00008B"/>
      <name val="Arial"/>
      <family val="2"/>
      <charset val="1"/>
    </font>
    <font>
      <b/>
      <sz val="10"/>
      <color rgb="FF1A1A2E"/>
      <name val="Arial"/>
      <family val="2"/>
      <charset val="1"/>
    </font>
    <font>
      <b/>
      <sz val="11"/>
      <color theme="1"/>
      <name val="Calibri"/>
      <family val="2"/>
      <charset val="1"/>
    </font>
    <font>
      <b/>
      <sz val="9"/>
      <color rgb="FFFFFFFF"/>
      <name val="Arial"/>
      <family val="2"/>
      <charset val="1"/>
    </font>
    <font>
      <sz val="10"/>
      <color rgb="FF00008B"/>
      <name val="Arial"/>
      <family val="2"/>
      <charset val="1"/>
    </font>
    <font>
      <i/>
      <sz val="10"/>
      <color rgb="FF444444"/>
      <name val="Arial"/>
      <family val="2"/>
      <charset val="1"/>
    </font>
    <font>
      <sz val="10"/>
      <color rgb="FF0064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9"/>
      <color rgb="FF444444"/>
      <name val="Arial"/>
      <family val="2"/>
      <charset val="1"/>
    </font>
    <font>
      <i/>
      <sz val="8"/>
      <color rgb="FF666666"/>
      <name val="Arial"/>
      <family val="2"/>
      <charset val="1"/>
    </font>
    <font>
      <i/>
      <sz val="9"/>
      <color rgb="FF004400"/>
      <name val="Arial"/>
      <family val="2"/>
      <charset val="1"/>
    </font>
    <font>
      <i/>
      <sz val="9"/>
      <color rgb="FF880000"/>
      <name val="Arial"/>
      <family val="2"/>
      <charset val="1"/>
    </font>
    <font>
      <i/>
      <sz val="9"/>
      <color rgb="FF663300"/>
      <name val="Arial"/>
      <family val="2"/>
      <charset val="1"/>
    </font>
    <font>
      <i/>
      <sz val="10"/>
      <color rgb="FF1A1A2E"/>
      <name val="Arial"/>
      <family val="2"/>
      <charset val="1"/>
    </font>
    <font>
      <b/>
      <sz val="10"/>
      <color rgb="FF00061C"/>
      <name val="Arial"/>
      <family val="2"/>
      <charset val="1"/>
    </font>
    <font>
      <b/>
      <sz val="12"/>
      <color rgb="FFFFFFFF"/>
      <name val="Arial"/>
      <family val="2"/>
      <charset val="1"/>
    </font>
    <font>
      <sz val="9"/>
      <color rgb="FF444444"/>
      <name val="Arial"/>
      <family val="2"/>
      <charset val="1"/>
    </font>
    <font>
      <b/>
      <sz val="10"/>
      <color rgb="FF006400"/>
      <name val="Arial"/>
      <family val="2"/>
      <charset val="1"/>
    </font>
    <font>
      <i/>
      <sz val="8"/>
      <color rgb="FF5495E0"/>
      <name val="Arial"/>
      <family val="2"/>
      <charset val="1"/>
    </font>
    <font>
      <sz val="9"/>
      <name val="Arial"/>
      <family val="2"/>
      <charset val="1"/>
    </font>
    <font>
      <sz val="8"/>
      <color rgb="FF555555"/>
      <name val="Arial"/>
      <family val="2"/>
      <charset val="1"/>
    </font>
    <font>
      <sz val="9"/>
      <color rgb="FFFFFFFF"/>
      <name val="Arial"/>
      <family val="2"/>
      <charset val="1"/>
    </font>
    <font>
      <b/>
      <sz val="9"/>
      <color rgb="FFFFFFFF"/>
      <name val="Arial"/>
      <family val="2"/>
    </font>
    <font>
      <sz val="10"/>
      <color rgb="FF1A1A2E"/>
      <name val="Arial"/>
      <family val="2"/>
    </font>
    <font>
      <sz val="10"/>
      <color rgb="FF006400"/>
      <name val="Arial"/>
      <family val="2"/>
    </font>
    <font>
      <b/>
      <sz val="10"/>
      <color rgb="FFFFFFFF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  <fill>
      <patternFill patternType="solid">
        <fgColor rgb="FF2C6FAC"/>
        <bgColor rgb="FF3366FF"/>
      </patternFill>
    </fill>
    <fill>
      <patternFill patternType="solid">
        <fgColor rgb="FFF4F6FB"/>
        <bgColor rgb="FFEBF5FB"/>
      </patternFill>
    </fill>
    <fill>
      <patternFill patternType="solid">
        <fgColor rgb="FFEBF5FB"/>
        <bgColor rgb="FFF4F6FB"/>
      </patternFill>
    </fill>
    <fill>
      <patternFill patternType="solid">
        <fgColor rgb="FFFFFFFF"/>
        <bgColor rgb="FFF4F6FB"/>
      </patternFill>
    </fill>
    <fill>
      <patternFill patternType="solid">
        <fgColor theme="1"/>
        <bgColor rgb="FF00061C"/>
      </patternFill>
    </fill>
    <fill>
      <patternFill patternType="solid">
        <fgColor rgb="FF00061C"/>
        <bgColor rgb="FF000000"/>
      </patternFill>
    </fill>
    <fill>
      <patternFill patternType="solid">
        <fgColor rgb="FFFFF9C4"/>
        <bgColor rgb="FFF4F6FB"/>
      </patternFill>
    </fill>
    <fill>
      <patternFill patternType="solid">
        <fgColor rgb="FFDDE8F7"/>
        <bgColor rgb="FFDDDDDD"/>
      </patternFill>
    </fill>
    <fill>
      <patternFill patternType="solid">
        <fgColor rgb="FF1E8449"/>
        <bgColor rgb="FF008080"/>
      </patternFill>
    </fill>
    <fill>
      <patternFill patternType="solid">
        <fgColor rgb="FFD5F5E3"/>
        <bgColor rgb="FFDDE8F7"/>
      </patternFill>
    </fill>
    <fill>
      <patternFill patternType="solid">
        <fgColor rgb="FF002244"/>
        <bgColor rgb="FF1A1A2E"/>
      </patternFill>
    </fill>
  </fills>
  <borders count="1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medium">
        <color rgb="FF5495E0"/>
      </left>
      <right/>
      <top style="medium">
        <color rgb="FF5495E0"/>
      </top>
      <bottom style="medium">
        <color rgb="FF5495E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5495E0"/>
      </left>
      <right style="medium">
        <color rgb="FF5495E0"/>
      </right>
      <top style="medium">
        <color rgb="FF5495E0"/>
      </top>
      <bottom style="medium">
        <color rgb="FF5495E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2" fillId="3" borderId="5" xfId="0" applyFont="1" applyFill="1" applyBorder="1" applyAlignment="1">
      <alignment horizontal="left" vertical="center" indent="1"/>
    </xf>
    <xf numFmtId="0" fontId="6" fillId="0" borderId="0" xfId="0" applyFont="1" applyAlignment="1">
      <alignment horizontal="left" vertical="center" wrapText="1" indent="1"/>
    </xf>
    <xf numFmtId="0" fontId="4" fillId="4" borderId="2" xfId="0" applyFont="1" applyFill="1" applyBorder="1" applyAlignment="1">
      <alignment horizontal="left" vertical="center" wrapText="1" indent="1"/>
    </xf>
    <xf numFmtId="4" fontId="0" fillId="0" borderId="0" xfId="0" applyNumberFormat="1" applyAlignment="1">
      <alignment wrapText="1"/>
    </xf>
    <xf numFmtId="0" fontId="7" fillId="0" borderId="0" xfId="0" applyFont="1"/>
    <xf numFmtId="0" fontId="8" fillId="3" borderId="5" xfId="0" applyFont="1" applyFill="1" applyBorder="1" applyAlignment="1">
      <alignment horizontal="center" vertical="center" wrapText="1"/>
    </xf>
    <xf numFmtId="4" fontId="9" fillId="5" borderId="6" xfId="0" applyNumberFormat="1" applyFont="1" applyFill="1" applyBorder="1" applyAlignment="1" applyProtection="1">
      <alignment horizontal="right" vertical="center"/>
      <protection locked="0"/>
    </xf>
    <xf numFmtId="0" fontId="10" fillId="4" borderId="7" xfId="0" applyFont="1" applyFill="1" applyBorder="1" applyAlignment="1">
      <alignment horizontal="left" vertical="center" wrapText="1" indent="1"/>
    </xf>
    <xf numFmtId="10" fontId="11" fillId="4" borderId="7" xfId="0" applyNumberFormat="1" applyFont="1" applyFill="1" applyBorder="1" applyAlignment="1">
      <alignment horizontal="right" vertical="center" wrapText="1"/>
    </xf>
    <xf numFmtId="4" fontId="4" fillId="4" borderId="7" xfId="0" applyNumberFormat="1" applyFont="1" applyFill="1" applyBorder="1" applyAlignment="1">
      <alignment horizontal="right" vertical="center" wrapText="1"/>
    </xf>
    <xf numFmtId="0" fontId="4" fillId="6" borderId="2" xfId="0" applyFont="1" applyFill="1" applyBorder="1" applyAlignment="1">
      <alignment horizontal="left" vertical="center" wrapText="1" indent="1"/>
    </xf>
    <xf numFmtId="0" fontId="10" fillId="6" borderId="7" xfId="0" applyFont="1" applyFill="1" applyBorder="1" applyAlignment="1">
      <alignment horizontal="left" vertical="center" wrapText="1" indent="1"/>
    </xf>
    <xf numFmtId="10" fontId="11" fillId="6" borderId="7" xfId="0" applyNumberFormat="1" applyFont="1" applyFill="1" applyBorder="1" applyAlignment="1">
      <alignment horizontal="right" vertical="center" wrapText="1"/>
    </xf>
    <xf numFmtId="4" fontId="4" fillId="6" borderId="7" xfId="0" applyNumberFormat="1" applyFont="1" applyFill="1" applyBorder="1" applyAlignment="1">
      <alignment horizontal="right" vertical="center" wrapText="1"/>
    </xf>
    <xf numFmtId="4" fontId="12" fillId="3" borderId="5" xfId="0" applyNumberFormat="1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left" vertical="center" indent="1"/>
    </xf>
    <xf numFmtId="0" fontId="0" fillId="4" borderId="7" xfId="0" applyFill="1" applyBorder="1"/>
    <xf numFmtId="0" fontId="13" fillId="4" borderId="7" xfId="0" applyFont="1" applyFill="1" applyBorder="1" applyAlignment="1">
      <alignment horizontal="left" vertical="center" indent="1"/>
    </xf>
    <xf numFmtId="10" fontId="11" fillId="4" borderId="7" xfId="0" applyNumberFormat="1" applyFont="1" applyFill="1" applyBorder="1" applyAlignment="1">
      <alignment horizontal="right" vertical="center"/>
    </xf>
    <xf numFmtId="4" fontId="4" fillId="4" borderId="7" xfId="0" applyNumberFormat="1" applyFont="1" applyFill="1" applyBorder="1" applyAlignment="1">
      <alignment horizontal="right" vertical="center"/>
    </xf>
    <xf numFmtId="0" fontId="4" fillId="6" borderId="2" xfId="0" applyFont="1" applyFill="1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12" fillId="7" borderId="5" xfId="0" applyFont="1" applyFill="1" applyBorder="1" applyAlignment="1">
      <alignment horizontal="left" vertical="center" indent="1"/>
    </xf>
    <xf numFmtId="4" fontId="12" fillId="8" borderId="8" xfId="0" applyNumberFormat="1" applyFont="1" applyFill="1" applyBorder="1" applyAlignment="1">
      <alignment vertical="center"/>
    </xf>
    <xf numFmtId="0" fontId="12" fillId="8" borderId="8" xfId="0" applyFont="1" applyFill="1" applyBorder="1" applyAlignment="1">
      <alignment vertical="center"/>
    </xf>
    <xf numFmtId="0" fontId="12" fillId="8" borderId="9" xfId="0" applyFont="1" applyFill="1" applyBorder="1" applyAlignment="1">
      <alignment vertical="center"/>
    </xf>
    <xf numFmtId="4" fontId="12" fillId="8" borderId="5" xfId="0" applyNumberFormat="1" applyFont="1" applyFill="1" applyBorder="1" applyAlignment="1">
      <alignment horizontal="right" vertical="center"/>
    </xf>
    <xf numFmtId="0" fontId="0" fillId="8" borderId="5" xfId="0" applyFill="1" applyBorder="1"/>
    <xf numFmtId="0" fontId="14" fillId="6" borderId="0" xfId="0" applyFont="1" applyFill="1"/>
    <xf numFmtId="0" fontId="15" fillId="4" borderId="7" xfId="0" applyFont="1" applyFill="1" applyBorder="1" applyAlignment="1">
      <alignment horizontal="left" vertical="center" indent="1"/>
    </xf>
    <xf numFmtId="0" fontId="4" fillId="6" borderId="7" xfId="0" applyFont="1" applyFill="1" applyBorder="1" applyAlignment="1">
      <alignment horizontal="left" vertical="center" indent="1"/>
    </xf>
    <xf numFmtId="0" fontId="0" fillId="6" borderId="7" xfId="0" applyFill="1" applyBorder="1"/>
    <xf numFmtId="0" fontId="15" fillId="6" borderId="7" xfId="0" applyFont="1" applyFill="1" applyBorder="1" applyAlignment="1">
      <alignment horizontal="left" vertical="center" indent="1"/>
    </xf>
    <xf numFmtId="10" fontId="11" fillId="6" borderId="7" xfId="0" applyNumberFormat="1" applyFont="1" applyFill="1" applyBorder="1" applyAlignment="1">
      <alignment horizontal="right" vertical="center"/>
    </xf>
    <xf numFmtId="4" fontId="4" fillId="6" borderId="7" xfId="0" applyNumberFormat="1" applyFont="1" applyFill="1" applyBorder="1" applyAlignment="1">
      <alignment horizontal="right" vertical="center"/>
    </xf>
    <xf numFmtId="0" fontId="16" fillId="4" borderId="7" xfId="0" applyFont="1" applyFill="1" applyBorder="1" applyAlignment="1">
      <alignment horizontal="left" vertical="center" indent="1"/>
    </xf>
    <xf numFmtId="0" fontId="17" fillId="6" borderId="7" xfId="0" applyFont="1" applyFill="1" applyBorder="1" applyAlignment="1">
      <alignment horizontal="left" vertical="center" indent="1"/>
    </xf>
    <xf numFmtId="10" fontId="5" fillId="9" borderId="6" xfId="0" applyNumberFormat="1" applyFont="1" applyFill="1" applyBorder="1" applyAlignment="1" applyProtection="1">
      <alignment horizontal="right" vertical="center"/>
      <protection locked="0"/>
    </xf>
    <xf numFmtId="0" fontId="18" fillId="4" borderId="2" xfId="0" applyFont="1" applyFill="1" applyBorder="1" applyAlignment="1">
      <alignment horizontal="left" vertical="center" wrapText="1" indent="1"/>
    </xf>
    <xf numFmtId="0" fontId="18" fillId="6" borderId="2" xfId="0" applyFont="1" applyFill="1" applyBorder="1" applyAlignment="1">
      <alignment horizontal="left" vertical="center" wrapText="1" indent="1"/>
    </xf>
    <xf numFmtId="0" fontId="16" fillId="6" borderId="7" xfId="0" applyFont="1" applyFill="1" applyBorder="1" applyAlignment="1">
      <alignment horizontal="left" vertical="center" indent="1"/>
    </xf>
    <xf numFmtId="0" fontId="18" fillId="4" borderId="7" xfId="0" applyFont="1" applyFill="1" applyBorder="1" applyAlignment="1">
      <alignment horizontal="left" vertical="center" wrapText="1" indent="1"/>
    </xf>
    <xf numFmtId="0" fontId="12" fillId="2" borderId="5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 wrapText="1" indent="1"/>
    </xf>
    <xf numFmtId="4" fontId="0" fillId="4" borderId="7" xfId="0" applyNumberFormat="1" applyFill="1" applyBorder="1" applyAlignment="1">
      <alignment horizontal="right" vertical="center"/>
    </xf>
    <xf numFmtId="0" fontId="6" fillId="10" borderId="2" xfId="0" applyFont="1" applyFill="1" applyBorder="1" applyAlignment="1">
      <alignment horizontal="left" vertical="center" wrapText="1" indent="1"/>
    </xf>
    <xf numFmtId="0" fontId="0" fillId="0" borderId="11" xfId="0" applyBorder="1"/>
    <xf numFmtId="0" fontId="0" fillId="10" borderId="7" xfId="0" applyFill="1" applyBorder="1"/>
    <xf numFmtId="4" fontId="19" fillId="10" borderId="7" xfId="0" applyNumberFormat="1" applyFont="1" applyFill="1" applyBorder="1" applyAlignment="1">
      <alignment horizontal="right" vertical="center"/>
    </xf>
    <xf numFmtId="0" fontId="21" fillId="4" borderId="2" xfId="0" applyFont="1" applyFill="1" applyBorder="1" applyAlignment="1">
      <alignment horizontal="left" vertical="center" wrapText="1" indent="1"/>
    </xf>
    <xf numFmtId="4" fontId="22" fillId="12" borderId="7" xfId="0" applyNumberFormat="1" applyFont="1" applyFill="1" applyBorder="1" applyAlignment="1">
      <alignment horizontal="right" vertical="center"/>
    </xf>
    <xf numFmtId="0" fontId="23" fillId="8" borderId="0" xfId="0" applyFont="1" applyFill="1" applyAlignment="1">
      <alignment horizontal="center" vertical="center"/>
    </xf>
    <xf numFmtId="0" fontId="24" fillId="4" borderId="12" xfId="0" applyFont="1" applyFill="1" applyBorder="1" applyAlignment="1">
      <alignment horizontal="center" vertical="center"/>
    </xf>
    <xf numFmtId="4" fontId="24" fillId="4" borderId="12" xfId="0" applyNumberFormat="1" applyFont="1" applyFill="1" applyBorder="1" applyAlignment="1">
      <alignment horizontal="center" vertical="center"/>
    </xf>
    <xf numFmtId="10" fontId="24" fillId="4" borderId="12" xfId="0" applyNumberFormat="1" applyFont="1" applyFill="1" applyBorder="1" applyAlignment="1">
      <alignment horizontal="center" vertical="center"/>
    </xf>
    <xf numFmtId="0" fontId="25" fillId="4" borderId="12" xfId="0" applyFont="1" applyFill="1" applyBorder="1" applyAlignment="1">
      <alignment horizontal="center" vertical="center"/>
    </xf>
    <xf numFmtId="10" fontId="0" fillId="0" borderId="0" xfId="0" applyNumberFormat="1"/>
    <xf numFmtId="0" fontId="24" fillId="6" borderId="12" xfId="0" applyFont="1" applyFill="1" applyBorder="1" applyAlignment="1">
      <alignment horizontal="center" vertical="center"/>
    </xf>
    <xf numFmtId="4" fontId="24" fillId="6" borderId="12" xfId="0" applyNumberFormat="1" applyFont="1" applyFill="1" applyBorder="1" applyAlignment="1">
      <alignment horizontal="center" vertical="center"/>
    </xf>
    <xf numFmtId="10" fontId="24" fillId="6" borderId="12" xfId="0" applyNumberFormat="1" applyFont="1" applyFill="1" applyBorder="1" applyAlignment="1">
      <alignment horizontal="center" vertical="center"/>
    </xf>
    <xf numFmtId="0" fontId="25" fillId="6" borderId="12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right" vertical="center"/>
    </xf>
    <xf numFmtId="4" fontId="11" fillId="4" borderId="7" xfId="0" applyNumberFormat="1" applyFont="1" applyFill="1" applyBorder="1" applyAlignment="1">
      <alignment horizontal="right" vertical="center"/>
    </xf>
    <xf numFmtId="4" fontId="11" fillId="6" borderId="7" xfId="0" applyNumberFormat="1" applyFont="1" applyFill="1" applyBorder="1" applyAlignment="1">
      <alignment horizontal="right" vertical="center"/>
    </xf>
    <xf numFmtId="164" fontId="11" fillId="6" borderId="7" xfId="0" applyNumberFormat="1" applyFont="1" applyFill="1" applyBorder="1" applyAlignment="1">
      <alignment horizontal="right" vertical="center"/>
    </xf>
    <xf numFmtId="0" fontId="11" fillId="6" borderId="7" xfId="0" applyFont="1" applyFill="1" applyBorder="1" applyAlignment="1">
      <alignment horizontal="right" vertical="center"/>
    </xf>
    <xf numFmtId="164" fontId="0" fillId="0" borderId="0" xfId="0" applyNumberFormat="1"/>
    <xf numFmtId="0" fontId="6" fillId="6" borderId="7" xfId="0" applyFont="1" applyFill="1" applyBorder="1" applyAlignment="1">
      <alignment horizontal="left" vertical="center" indent="1"/>
    </xf>
    <xf numFmtId="165" fontId="11" fillId="6" borderId="7" xfId="0" applyNumberFormat="1" applyFont="1" applyFill="1" applyBorder="1" applyAlignment="1">
      <alignment horizontal="right" vertical="center"/>
    </xf>
    <xf numFmtId="166" fontId="11" fillId="6" borderId="7" xfId="0" applyNumberFormat="1" applyFont="1" applyFill="1" applyBorder="1" applyAlignment="1">
      <alignment horizontal="right" vertical="center"/>
    </xf>
    <xf numFmtId="167" fontId="11" fillId="6" borderId="7" xfId="0" applyNumberFormat="1" applyFont="1" applyFill="1" applyBorder="1" applyAlignment="1">
      <alignment horizontal="right" vertical="center"/>
    </xf>
    <xf numFmtId="0" fontId="12" fillId="13" borderId="7" xfId="0" applyFont="1" applyFill="1" applyBorder="1" applyAlignment="1">
      <alignment horizontal="left" vertical="center" indent="1"/>
    </xf>
    <xf numFmtId="4" fontId="12" fillId="11" borderId="7" xfId="0" applyNumberFormat="1" applyFont="1" applyFill="1" applyBorder="1" applyAlignment="1">
      <alignment horizontal="right" vertical="center"/>
    </xf>
    <xf numFmtId="0" fontId="28" fillId="6" borderId="13" xfId="0" applyFont="1" applyFill="1" applyBorder="1" applyAlignment="1">
      <alignment horizontal="left" vertical="center"/>
    </xf>
    <xf numFmtId="10" fontId="29" fillId="4" borderId="13" xfId="0" applyNumberFormat="1" applyFont="1" applyFill="1" applyBorder="1" applyAlignment="1">
      <alignment horizontal="right" vertical="center"/>
    </xf>
    <xf numFmtId="4" fontId="29" fillId="6" borderId="13" xfId="0" applyNumberFormat="1" applyFont="1" applyFill="1" applyBorder="1" applyAlignment="1">
      <alignment horizontal="right" vertical="center"/>
    </xf>
    <xf numFmtId="0" fontId="28" fillId="4" borderId="13" xfId="0" applyFont="1" applyFill="1" applyBorder="1" applyAlignment="1">
      <alignment horizontal="left" vertical="center"/>
    </xf>
    <xf numFmtId="4" fontId="29" fillId="4" borderId="13" xfId="0" applyNumberFormat="1" applyFont="1" applyFill="1" applyBorder="1" applyAlignment="1">
      <alignment horizontal="right" vertical="center"/>
    </xf>
    <xf numFmtId="0" fontId="30" fillId="13" borderId="13" xfId="0" applyFont="1" applyFill="1" applyBorder="1" applyAlignment="1">
      <alignment horizontal="left" vertical="center"/>
    </xf>
    <xf numFmtId="4" fontId="30" fillId="11" borderId="13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indent="1"/>
    </xf>
    <xf numFmtId="0" fontId="4" fillId="4" borderId="2" xfId="0" applyFont="1" applyFill="1" applyBorder="1" applyAlignment="1">
      <alignment horizontal="left" vertical="center" wrapText="1" indent="1"/>
    </xf>
    <xf numFmtId="0" fontId="5" fillId="5" borderId="3" xfId="0" applyFont="1" applyFill="1" applyBorder="1" applyAlignment="1" applyProtection="1">
      <alignment horizontal="right" vertical="center"/>
      <protection locked="0"/>
    </xf>
    <xf numFmtId="4" fontId="5" fillId="5" borderId="3" xfId="0" applyNumberFormat="1" applyFont="1" applyFill="1" applyBorder="1" applyAlignment="1" applyProtection="1">
      <alignment horizontal="right" vertical="center"/>
      <protection locked="0"/>
    </xf>
    <xf numFmtId="10" fontId="5" fillId="5" borderId="3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indent="1"/>
    </xf>
    <xf numFmtId="0" fontId="8" fillId="3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/>
    </xf>
    <xf numFmtId="0" fontId="20" fillId="11" borderId="1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left" vertical="center" indent="1"/>
    </xf>
    <xf numFmtId="0" fontId="12" fillId="2" borderId="5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center" vertical="center"/>
    </xf>
    <xf numFmtId="0" fontId="0" fillId="0" borderId="0" xfId="0"/>
    <xf numFmtId="0" fontId="20" fillId="8" borderId="0" xfId="0" applyFont="1" applyFill="1" applyAlignment="1">
      <alignment horizontal="center" vertical="center"/>
    </xf>
    <xf numFmtId="0" fontId="20" fillId="8" borderId="1" xfId="0" applyFont="1" applyFill="1" applyBorder="1" applyAlignment="1">
      <alignment horizontal="left" vertical="center" indent="1"/>
    </xf>
    <xf numFmtId="0" fontId="26" fillId="3" borderId="1" xfId="0" applyFont="1" applyFill="1" applyBorder="1" applyAlignment="1">
      <alignment horizontal="left" vertical="center" indent="1"/>
    </xf>
    <xf numFmtId="0" fontId="27" fillId="3" borderId="13" xfId="0" applyFont="1" applyFill="1" applyBorder="1" applyAlignment="1">
      <alignment horizontal="left" vertical="center"/>
    </xf>
  </cellXfs>
  <cellStyles count="1">
    <cellStyle name="Normal" xfId="0" builtinId="0"/>
  </cellStyles>
  <dxfs count="4">
    <dxf>
      <font>
        <b/>
        <sz val="10"/>
        <color rgb="FFC0392B"/>
        <name val="Arial"/>
        <charset val="1"/>
      </font>
      <fill>
        <patternFill>
          <bgColor rgb="FFFADBD8"/>
        </patternFill>
      </fill>
    </dxf>
    <dxf>
      <font>
        <b/>
        <sz val="10"/>
        <color rgb="FF1E8449"/>
        <name val="Arial"/>
        <charset val="1"/>
      </font>
      <fill>
        <patternFill>
          <bgColor rgb="FFD5F5E3"/>
        </patternFill>
      </fill>
    </dxf>
    <dxf>
      <font>
        <b/>
        <sz val="10"/>
        <color rgb="FFC0392B"/>
        <name val="Arial"/>
        <charset val="1"/>
      </font>
      <fill>
        <patternFill>
          <bgColor rgb="FFFADBD8"/>
        </patternFill>
      </fill>
    </dxf>
    <dxf>
      <font>
        <b/>
        <sz val="10"/>
        <color rgb="FF1E8449"/>
        <name val="Arial"/>
        <charset val="1"/>
      </font>
      <fill>
        <patternFill>
          <bgColor rgb="FFD5F5E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80000"/>
      <rgbColor rgb="FF006400"/>
      <rgbColor rgb="FF00008B"/>
      <rgbColor rgb="FF808000"/>
      <rgbColor rgb="FF800080"/>
      <rgbColor rgb="FF008080"/>
      <rgbColor rgb="FFCCCCCC"/>
      <rgbColor rgb="FF808080"/>
      <rgbColor rgb="FF5495E0"/>
      <rgbColor rgb="FF993366"/>
      <rgbColor rgb="FFFFF9C4"/>
      <rgbColor rgb="FFEBF5FB"/>
      <rgbColor rgb="FF1A1A2E"/>
      <rgbColor rgb="FFFF8080"/>
      <rgbColor rgb="FF2C6FAC"/>
      <rgbColor rgb="FFDDDDDD"/>
      <rgbColor rgb="FF00061C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DE8F7"/>
      <rgbColor rgb="FFD5F5E3"/>
      <rgbColor rgb="FFF4F6FB"/>
      <rgbColor rgb="FF99CCFF"/>
      <rgbColor rgb="FFFF99CC"/>
      <rgbColor rgb="FFCC99FF"/>
      <rgbColor rgb="FFFADBD8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2244"/>
      <rgbColor rgb="FF1E8449"/>
      <rgbColor rgb="FF004400"/>
      <rgbColor rgb="FF663300"/>
      <rgbColor rgb="FFC0392B"/>
      <rgbColor rgb="FF993366"/>
      <rgbColor rgb="FF555555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896470</xdr:colOff>
      <xdr:row>3</xdr:row>
      <xdr:rowOff>28015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0735" y="0"/>
          <a:ext cx="896470" cy="616324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showGridLines="0" tabSelected="1" zoomScale="102" zoomScaleNormal="102" workbookViewId="0">
      <pane xSplit="1" ySplit="4" topLeftCell="B54" activePane="bottomRight" state="frozen"/>
      <selection pane="topRight" activeCell="B1" sqref="B1"/>
      <selection pane="bottomLeft" activeCell="A20" sqref="A20"/>
      <selection pane="bottomRight" activeCell="E61" sqref="E61"/>
    </sheetView>
  </sheetViews>
  <sheetFormatPr defaultColWidth="8.7109375" defaultRowHeight="15" x14ac:dyDescent="0.25"/>
  <cols>
    <col min="1" max="1" width="2" customWidth="1"/>
    <col min="2" max="2" width="46.85546875" customWidth="1"/>
    <col min="3" max="3" width="18" customWidth="1"/>
    <col min="4" max="4" width="2" customWidth="1"/>
    <col min="5" max="5" width="42" customWidth="1"/>
    <col min="6" max="6" width="18" customWidth="1"/>
    <col min="7" max="7" width="2" customWidth="1"/>
    <col min="8" max="8" width="18" customWidth="1"/>
    <col min="9" max="9" width="2" customWidth="1"/>
    <col min="10" max="10" width="18" customWidth="1"/>
  </cols>
  <sheetData>
    <row r="1" spans="1:10" ht="17.25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5" customHeight="1" x14ac:dyDescent="0.25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</row>
    <row r="4" spans="1:10" ht="15" customHeight="1" x14ac:dyDescent="0.25">
      <c r="B4" s="88" t="s">
        <v>2</v>
      </c>
      <c r="C4" s="88"/>
      <c r="D4" s="88"/>
      <c r="E4" s="88"/>
      <c r="F4" s="88"/>
      <c r="G4" s="88"/>
      <c r="H4" s="88"/>
      <c r="I4" s="88"/>
      <c r="J4" s="88"/>
    </row>
    <row r="5" spans="1:10" ht="15" customHeight="1" x14ac:dyDescent="0.25">
      <c r="B5" s="89" t="s">
        <v>3</v>
      </c>
      <c r="C5" s="89"/>
      <c r="D5" s="89"/>
      <c r="E5" s="89"/>
      <c r="F5" s="90" t="s">
        <v>114</v>
      </c>
      <c r="G5" s="90"/>
      <c r="H5" s="90"/>
      <c r="I5" s="90"/>
      <c r="J5" s="90"/>
    </row>
    <row r="6" spans="1:10" ht="15" customHeight="1" x14ac:dyDescent="0.25">
      <c r="B6" s="89" t="s">
        <v>5</v>
      </c>
      <c r="C6" s="89"/>
      <c r="D6" s="89"/>
      <c r="E6" s="89"/>
      <c r="F6" s="91">
        <v>2100000</v>
      </c>
      <c r="G6" s="91"/>
      <c r="H6" s="91"/>
      <c r="I6" s="91"/>
      <c r="J6" s="91"/>
    </row>
    <row r="7" spans="1:10" ht="15" customHeight="1" x14ac:dyDescent="0.25">
      <c r="B7" s="89" t="s">
        <v>6</v>
      </c>
      <c r="C7" s="89"/>
      <c r="D7" s="89"/>
      <c r="E7" s="89"/>
      <c r="F7" s="91">
        <v>165000</v>
      </c>
      <c r="G7" s="91"/>
      <c r="H7" s="91"/>
      <c r="I7" s="91"/>
      <c r="J7" s="91"/>
    </row>
    <row r="8" spans="1:10" ht="15" customHeight="1" x14ac:dyDescent="0.25">
      <c r="B8" s="89" t="s">
        <v>7</v>
      </c>
      <c r="C8" s="89"/>
      <c r="D8" s="89"/>
      <c r="E8" s="89"/>
      <c r="F8" s="90">
        <v>2027</v>
      </c>
      <c r="G8" s="90"/>
      <c r="H8" s="90"/>
      <c r="I8" s="90"/>
      <c r="J8" s="90"/>
    </row>
    <row r="9" spans="1:10" ht="15" customHeight="1" x14ac:dyDescent="0.25">
      <c r="B9" s="89" t="s">
        <v>8</v>
      </c>
      <c r="C9" s="89"/>
      <c r="D9" s="89"/>
      <c r="E9" s="89"/>
      <c r="F9" s="92">
        <v>8.7999999999999995E-2</v>
      </c>
      <c r="G9" s="92"/>
      <c r="H9" s="92"/>
      <c r="I9" s="92"/>
      <c r="J9" s="92"/>
    </row>
    <row r="10" spans="1:10" ht="15" customHeight="1" x14ac:dyDescent="0.25">
      <c r="B10" s="93" t="s">
        <v>9</v>
      </c>
      <c r="C10" s="93"/>
      <c r="D10" s="93"/>
      <c r="E10" s="93"/>
      <c r="F10" s="4">
        <v>3600000</v>
      </c>
      <c r="H10" s="5" t="s">
        <v>10</v>
      </c>
      <c r="J10" t="str">
        <f>Calc_Convencional!C11</f>
        <v>Não</v>
      </c>
    </row>
    <row r="11" spans="1:10" ht="15" customHeight="1" x14ac:dyDescent="0.25">
      <c r="B11" s="2"/>
      <c r="C11" s="2"/>
      <c r="D11" s="2"/>
      <c r="E11" s="2"/>
      <c r="F11" s="4"/>
      <c r="H11" s="5"/>
    </row>
    <row r="12" spans="1:10" ht="15" customHeight="1" x14ac:dyDescent="0.25">
      <c r="B12" s="94" t="s">
        <v>11</v>
      </c>
      <c r="C12" s="94"/>
      <c r="D12" s="94"/>
      <c r="E12" s="94"/>
      <c r="F12" s="94"/>
      <c r="G12" s="94"/>
      <c r="H12" s="94"/>
      <c r="I12" s="94"/>
      <c r="J12" s="94"/>
    </row>
    <row r="13" spans="1:10" ht="15" customHeight="1" x14ac:dyDescent="0.25">
      <c r="B13" s="6" t="s">
        <v>12</v>
      </c>
      <c r="C13" s="6" t="s">
        <v>13</v>
      </c>
      <c r="E13" s="6" t="s">
        <v>14</v>
      </c>
      <c r="F13" s="6" t="s">
        <v>15</v>
      </c>
      <c r="H13" s="6" t="s">
        <v>16</v>
      </c>
      <c r="J13" s="6" t="s">
        <v>17</v>
      </c>
    </row>
    <row r="14" spans="1:10" ht="15" customHeight="1" x14ac:dyDescent="0.25">
      <c r="B14" s="95" t="s">
        <v>18</v>
      </c>
      <c r="C14" s="95"/>
      <c r="D14" s="95"/>
      <c r="E14" s="95"/>
      <c r="F14" s="95"/>
      <c r="G14" s="95"/>
      <c r="H14" s="95"/>
      <c r="I14" s="95"/>
      <c r="J14" s="95"/>
    </row>
    <row r="15" spans="1:10" ht="15" customHeight="1" x14ac:dyDescent="0.25">
      <c r="B15" s="3" t="s">
        <v>19</v>
      </c>
      <c r="C15" s="7">
        <v>165000</v>
      </c>
      <c r="E15" s="8" t="s">
        <v>20</v>
      </c>
      <c r="F15" s="9">
        <f>$F$9</f>
        <v>8.7999999999999995E-2</v>
      </c>
      <c r="H15" s="10">
        <f>Calc_Convencional!C84</f>
        <v>24778.285714285714</v>
      </c>
      <c r="J15" s="10">
        <f t="shared" ref="J15:J20" si="0">C15*F15</f>
        <v>14520</v>
      </c>
    </row>
    <row r="16" spans="1:10" ht="15" customHeight="1" x14ac:dyDescent="0.25">
      <c r="B16" s="11" t="s">
        <v>21</v>
      </c>
      <c r="C16" s="7">
        <v>0</v>
      </c>
      <c r="E16" s="12" t="s">
        <v>22</v>
      </c>
      <c r="F16" s="13">
        <f>$F$9</f>
        <v>8.7999999999999995E-2</v>
      </c>
      <c r="H16" s="14">
        <f>Calc_Convencional!C85</f>
        <v>0</v>
      </c>
      <c r="J16" s="14">
        <f t="shared" si="0"/>
        <v>0</v>
      </c>
    </row>
    <row r="17" spans="2:10" ht="18" customHeight="1" x14ac:dyDescent="0.25">
      <c r="B17" s="3" t="s">
        <v>23</v>
      </c>
      <c r="C17" s="7">
        <v>0</v>
      </c>
      <c r="E17" s="8" t="s">
        <v>24</v>
      </c>
      <c r="F17" s="9">
        <f>0</f>
        <v>0</v>
      </c>
      <c r="H17" s="10">
        <f>Calc_Convencional!C86</f>
        <v>0</v>
      </c>
      <c r="J17" s="10">
        <f t="shared" si="0"/>
        <v>0</v>
      </c>
    </row>
    <row r="18" spans="2:10" ht="23.25" customHeight="1" x14ac:dyDescent="0.25">
      <c r="B18" s="11" t="s">
        <v>25</v>
      </c>
      <c r="C18" s="7">
        <v>0</v>
      </c>
      <c r="E18" s="12" t="s">
        <v>24</v>
      </c>
      <c r="F18" s="13">
        <f>0</f>
        <v>0</v>
      </c>
      <c r="H18" s="14">
        <f>Calc_Convencional!C87</f>
        <v>0</v>
      </c>
      <c r="J18" s="14">
        <f t="shared" si="0"/>
        <v>0</v>
      </c>
    </row>
    <row r="19" spans="2:10" ht="18" customHeight="1" x14ac:dyDescent="0.25">
      <c r="B19" s="3" t="s">
        <v>26</v>
      </c>
      <c r="C19" s="7">
        <v>0</v>
      </c>
      <c r="E19" s="8" t="s">
        <v>27</v>
      </c>
      <c r="F19" s="9">
        <f>$F$9</f>
        <v>8.7999999999999995E-2</v>
      </c>
      <c r="H19" s="10">
        <f>Calc_Convencional!C88</f>
        <v>0</v>
      </c>
      <c r="J19" s="10">
        <f t="shared" si="0"/>
        <v>0</v>
      </c>
    </row>
    <row r="20" spans="2:10" ht="23.25" customHeight="1" x14ac:dyDescent="0.25">
      <c r="B20" s="3" t="s">
        <v>28</v>
      </c>
      <c r="C20" s="7">
        <v>0</v>
      </c>
      <c r="E20" s="8" t="s">
        <v>29</v>
      </c>
      <c r="F20" s="9">
        <f>$F$9*0.7</f>
        <v>6.1599999999999995E-2</v>
      </c>
      <c r="H20" s="10">
        <f>Calc_Convencional!C89</f>
        <v>0</v>
      </c>
      <c r="J20" s="10">
        <f t="shared" si="0"/>
        <v>0</v>
      </c>
    </row>
    <row r="21" spans="2:10" ht="15" customHeight="1" x14ac:dyDescent="0.25">
      <c r="B21" s="98" t="s">
        <v>30</v>
      </c>
      <c r="C21" s="98"/>
      <c r="D21" s="98"/>
      <c r="E21" s="98"/>
      <c r="F21" s="98"/>
      <c r="G21" s="98"/>
      <c r="H21" s="15">
        <f>SUM(H15:H20)</f>
        <v>24778.285714285714</v>
      </c>
      <c r="I21" s="16"/>
      <c r="J21" s="15">
        <f>SUM(J15:J20)</f>
        <v>14520</v>
      </c>
    </row>
    <row r="23" spans="2:10" ht="15" customHeight="1" x14ac:dyDescent="0.25">
      <c r="B23" s="95" t="s">
        <v>31</v>
      </c>
      <c r="C23" s="95"/>
      <c r="D23" s="95"/>
      <c r="E23" s="95"/>
      <c r="F23" s="95"/>
      <c r="G23" s="95"/>
      <c r="H23" s="95"/>
      <c r="I23" s="95"/>
      <c r="J23" s="95"/>
    </row>
    <row r="24" spans="2:10" ht="15" customHeight="1" x14ac:dyDescent="0.25">
      <c r="B24" s="17" t="s">
        <v>32</v>
      </c>
      <c r="C24" s="7">
        <v>0</v>
      </c>
      <c r="D24" s="18"/>
      <c r="E24" s="19" t="s">
        <v>33</v>
      </c>
      <c r="F24" s="20">
        <f>$F$9</f>
        <v>8.7999999999999995E-2</v>
      </c>
      <c r="G24" s="18"/>
      <c r="H24" s="21">
        <f>IF(C24=0,0,IF(AND(Calc_Convencional!$C$11="Sim",Calc_Convencional!$C$12="Não"),C24*Calc_Convencional!$C$72,IF(AND(Calc_Convencional!$C$11="Não",Calc_Convencional!$C$12="Sim"),C24*(Calc_Convencional!$C$57+Calc_Convencional!$C$60+Calc_Convencional!$C$62),IF(AND(Calc_Convencional!$C$11="Sim",Calc_Convencional!$C$12="Sim"),C24*Calc_Convencional!$C$37+IFERROR(C24/Calc_Convencional!$C$5,0)*(Calc_Convencional!$C$40+Calc_Convencional!$C$42+Calc_Convencional!$C$44+Calc_Convencional!$C$46+Calc_Convencional!$C$80),C24*Calc_Convencional!$C$33))))</f>
        <v>0</v>
      </c>
      <c r="I24" s="18"/>
      <c r="J24" s="21">
        <f t="shared" ref="J24:J30" si="1">C24*F24</f>
        <v>0</v>
      </c>
    </row>
    <row r="25" spans="2:10" ht="15" customHeight="1" x14ac:dyDescent="0.25">
      <c r="B25" s="3" t="s">
        <v>34</v>
      </c>
      <c r="C25" s="7">
        <v>165000</v>
      </c>
      <c r="E25" s="8" t="s">
        <v>35</v>
      </c>
      <c r="F25" s="9">
        <f>0</f>
        <v>0</v>
      </c>
      <c r="H25" s="10">
        <f>IF(C25=0,0,IF(AND(Calc_Convencional!$C$11="Sim",Calc_Convencional!$C$12="Não"),C25*Calc_Convencional!$C$72,IF(AND(Calc_Convencional!$C$11="Não",Calc_Convencional!$C$12="Sim"),C25*(Calc_Convencional!$C$57+Calc_Convencional!$C$60+Calc_Convencional!$C$62),IF(AND(Calc_Convencional!$C$11="Sim",Calc_Convencional!$C$12="Sim"),C25*Calc_Convencional!$C$37+IFERROR(C25/Calc_Convencional!$C$5,0)*(Calc_Convencional!$C$40+Calc_Convencional!$C$42+Calc_Convencional!$C$44+Calc_Convencional!$C$46+Calc_Convencional!$C$80),C25*Calc_Convencional!$C$33))))</f>
        <v>24778.285714285714</v>
      </c>
      <c r="J25" s="10">
        <f t="shared" si="1"/>
        <v>0</v>
      </c>
    </row>
    <row r="26" spans="2:10" ht="15" customHeight="1" x14ac:dyDescent="0.25">
      <c r="B26" s="11" t="s">
        <v>36</v>
      </c>
      <c r="C26" s="7">
        <v>0</v>
      </c>
      <c r="E26" s="12" t="s">
        <v>37</v>
      </c>
      <c r="F26" s="13">
        <f>$F$9*0.7</f>
        <v>6.1599999999999995E-2</v>
      </c>
      <c r="H26" s="14">
        <f>IF(C26=0,0,IF(AND(Calc_Convencional!$C$11="Sim",Calc_Convencional!$C$12="Não"),C26*Calc_Convencional!$C$72,IF(AND(Calc_Convencional!$C$11="Não",Calc_Convencional!$C$12="Sim"),C26*(Calc_Convencional!$C$57+Calc_Convencional!$C$60+Calc_Convencional!$C$62),IF(AND(Calc_Convencional!$C$11="Sim",Calc_Convencional!$C$12="Sim"),C26*Calc_Convencional!$C$37+IFERROR(C26/Calc_Convencional!$C$5,0)*(Calc_Convencional!$C$40+Calc_Convencional!$C$42+Calc_Convencional!$C$44+Calc_Convencional!$C$46+Calc_Convencional!$C$80),C26*Calc_Convencional!$C$33))))</f>
        <v>0</v>
      </c>
      <c r="J26" s="14">
        <f t="shared" si="1"/>
        <v>0</v>
      </c>
    </row>
    <row r="27" spans="2:10" ht="15" customHeight="1" x14ac:dyDescent="0.25">
      <c r="B27" s="3" t="s">
        <v>38</v>
      </c>
      <c r="C27" s="7">
        <v>0</v>
      </c>
      <c r="E27" s="8" t="s">
        <v>39</v>
      </c>
      <c r="F27" s="9">
        <f>$F$9*0.6</f>
        <v>5.2799999999999993E-2</v>
      </c>
      <c r="H27" s="10">
        <f>IF(C27=0,0,IF(AND(Calc_Convencional!$C$11="Sim",Calc_Convencional!$C$12="Não"),C27*Calc_Convencional!$C$72,IF(AND(Calc_Convencional!$C$11="Não",Calc_Convencional!$C$12="Sim"),C27*(Calc_Convencional!$C$57+Calc_Convencional!$C$60+Calc_Convencional!$C$62),IF(AND(Calc_Convencional!$C$11="Sim",Calc_Convencional!$C$12="Sim"),C27*Calc_Convencional!$C$37+IFERROR(C27/Calc_Convencional!$C$5,0)*(Calc_Convencional!$C$40+Calc_Convencional!$C$42+Calc_Convencional!$C$44+Calc_Convencional!$C$46+Calc_Convencional!$C$80),C27*Calc_Convencional!$C$33))))</f>
        <v>0</v>
      </c>
      <c r="J27" s="10">
        <f t="shared" si="1"/>
        <v>0</v>
      </c>
    </row>
    <row r="28" spans="2:10" ht="15" customHeight="1" x14ac:dyDescent="0.25">
      <c r="B28" s="11" t="s">
        <v>40</v>
      </c>
      <c r="C28" s="7">
        <v>0</v>
      </c>
      <c r="E28" s="12" t="s">
        <v>41</v>
      </c>
      <c r="F28" s="13">
        <f>$F$9*0.5</f>
        <v>4.3999999999999997E-2</v>
      </c>
      <c r="H28" s="14">
        <f>IF(C28=0,0,IF(AND(Calc_Convencional!$C$11="Sim",Calc_Convencional!$C$12="Não"),C28*Calc_Convencional!$C$72,IF(AND(Calc_Convencional!$C$11="Não",Calc_Convencional!$C$12="Sim"),C28*(Calc_Convencional!$C$57+Calc_Convencional!$C$60+Calc_Convencional!$C$62),IF(AND(Calc_Convencional!$C$11="Sim",Calc_Convencional!$C$12="Sim"),C28*Calc_Convencional!$C$37+IFERROR(C28/Calc_Convencional!$C$5,0)*(Calc_Convencional!$C$40+Calc_Convencional!$C$42+Calc_Convencional!$C$44+Calc_Convencional!$C$46+Calc_Convencional!$C$80),C28*Calc_Convencional!$C$33))))</f>
        <v>0</v>
      </c>
      <c r="J28" s="14">
        <f t="shared" si="1"/>
        <v>0</v>
      </c>
    </row>
    <row r="29" spans="2:10" ht="15" customHeight="1" x14ac:dyDescent="0.25">
      <c r="B29" s="3" t="s">
        <v>42</v>
      </c>
      <c r="C29" s="7">
        <v>0</v>
      </c>
      <c r="E29" s="8" t="s">
        <v>43</v>
      </c>
      <c r="F29" s="9">
        <f>$F$9*0.4</f>
        <v>3.5200000000000002E-2</v>
      </c>
      <c r="H29" s="10">
        <f>IF(C29=0,0,IF(AND(Calc_Convencional!$C$11="Sim",Calc_Convencional!$C$12="Não"),C29*Calc_Convencional!$C$72,IF(AND(Calc_Convencional!$C$11="Não",Calc_Convencional!$C$12="Sim"),C29*(Calc_Convencional!$C$57+Calc_Convencional!$C$60+Calc_Convencional!$C$62),IF(AND(Calc_Convencional!$C$11="Sim",Calc_Convencional!$C$12="Sim"),C29*Calc_Convencional!$C$37+IFERROR(C29/Calc_Convencional!$C$5,0)*(Calc_Convencional!$C$40+Calc_Convencional!$C$42+Calc_Convencional!$C$44+Calc_Convencional!$C$46+Calc_Convencional!$C$80),C29*Calc_Convencional!$C$33))))</f>
        <v>0</v>
      </c>
      <c r="J29" s="10">
        <f t="shared" si="1"/>
        <v>0</v>
      </c>
    </row>
    <row r="30" spans="2:10" ht="15" customHeight="1" x14ac:dyDescent="0.25">
      <c r="B30" s="3" t="s">
        <v>44</v>
      </c>
      <c r="C30" s="7">
        <v>0</v>
      </c>
      <c r="D30" s="22"/>
      <c r="E30" s="8" t="s">
        <v>45</v>
      </c>
      <c r="F30" s="9">
        <f>$F$9*0.3</f>
        <v>2.6399999999999996E-2</v>
      </c>
      <c r="G30" s="22"/>
      <c r="H30" s="14">
        <f>IF(C30=0,0,IF(AND(Calc_Convencional!$C$11="Sim",Calc_Convencional!$C$12="Não"),C30*Calc_Convencional!$C$72,IF(AND(Calc_Convencional!$C$11="Não",Calc_Convencional!$C$12="Sim"),C30*(Calc_Convencional!$C$57+Calc_Convencional!$C$60+Calc_Convencional!$C$62),IF(AND(Calc_Convencional!$C$11="Sim",Calc_Convencional!$C$12="Sim"),C30*Calc_Convencional!$C$37+IFERROR(C30/Calc_Convencional!$C$5,0)*(Calc_Convencional!$C$40+Calc_Convencional!$C$42+Calc_Convencional!$C$44+Calc_Convencional!$C$46+Calc_Convencional!$C$80),C30*Calc_Convencional!$C$33))))</f>
        <v>0</v>
      </c>
      <c r="J30" s="14">
        <f t="shared" si="1"/>
        <v>0</v>
      </c>
    </row>
    <row r="31" spans="2:10" ht="15" customHeight="1" x14ac:dyDescent="0.25">
      <c r="B31" s="1" t="s">
        <v>46</v>
      </c>
      <c r="C31" s="23"/>
      <c r="D31" s="23"/>
      <c r="E31" s="23"/>
      <c r="F31" s="23"/>
      <c r="G31" s="24"/>
      <c r="H31" s="15">
        <f>SUM(H24:H30)</f>
        <v>24778.285714285714</v>
      </c>
      <c r="I31" s="16"/>
      <c r="J31" s="15">
        <f>SUM(J24:J30)</f>
        <v>0</v>
      </c>
    </row>
    <row r="32" spans="2:10" ht="15" customHeight="1" x14ac:dyDescent="0.25">
      <c r="B32" s="25" t="s">
        <v>47</v>
      </c>
      <c r="C32" s="26">
        <f>C15+C16+C17+C18+C19+C20+C24+C25+C26+C27+C28+C29+C30</f>
        <v>330000</v>
      </c>
      <c r="D32" s="27"/>
      <c r="E32" s="27"/>
      <c r="F32" s="27"/>
      <c r="G32" s="28"/>
      <c r="H32" s="29">
        <f>Calc_Convencional!C96</f>
        <v>49556.571428571428</v>
      </c>
      <c r="I32" s="30"/>
      <c r="J32" s="29">
        <f>J21+J31</f>
        <v>14520</v>
      </c>
    </row>
    <row r="33" spans="2:10" ht="15" customHeight="1" x14ac:dyDescent="0.25">
      <c r="B33" s="99"/>
      <c r="C33" s="99"/>
      <c r="D33" s="99"/>
      <c r="E33" s="99"/>
      <c r="F33" s="99"/>
      <c r="G33" s="99"/>
      <c r="H33" s="99"/>
      <c r="I33" s="99"/>
      <c r="J33" s="99"/>
    </row>
    <row r="34" spans="2:10" ht="15" customHeight="1" x14ac:dyDescent="0.25">
      <c r="B34" s="31" t="s">
        <v>48</v>
      </c>
    </row>
    <row r="35" spans="2:10" ht="15" customHeight="1" x14ac:dyDescent="0.25">
      <c r="B35" s="100" t="s">
        <v>49</v>
      </c>
      <c r="C35" s="100"/>
      <c r="D35" s="100"/>
      <c r="E35" s="100"/>
      <c r="F35" s="100"/>
      <c r="G35" s="100"/>
      <c r="H35" s="100"/>
      <c r="I35" s="100"/>
      <c r="J35" s="100"/>
    </row>
    <row r="36" spans="2:10" ht="15" customHeight="1" x14ac:dyDescent="0.25">
      <c r="B36" s="100"/>
      <c r="C36" s="100"/>
      <c r="D36" s="100"/>
      <c r="E36" s="100"/>
      <c r="F36" s="100"/>
      <c r="G36" s="100"/>
      <c r="H36" s="100"/>
      <c r="I36" s="100"/>
      <c r="J36" s="100"/>
    </row>
    <row r="37" spans="2:10" ht="15" customHeight="1" x14ac:dyDescent="0.25">
      <c r="B37" s="6" t="s">
        <v>50</v>
      </c>
      <c r="C37" s="6" t="s">
        <v>51</v>
      </c>
      <c r="E37" s="6" t="s">
        <v>52</v>
      </c>
      <c r="F37" s="6" t="s">
        <v>53</v>
      </c>
      <c r="J37" s="6" t="s">
        <v>54</v>
      </c>
    </row>
    <row r="38" spans="2:10" ht="15" customHeight="1" x14ac:dyDescent="0.25">
      <c r="B38" s="17" t="s">
        <v>55</v>
      </c>
      <c r="C38" s="7">
        <v>0</v>
      </c>
      <c r="D38" s="18"/>
      <c r="E38" s="32" t="s">
        <v>56</v>
      </c>
      <c r="F38" s="20">
        <f>$F$9</f>
        <v>8.7999999999999995E-2</v>
      </c>
      <c r="G38" s="18"/>
      <c r="J38" s="21">
        <f t="shared" ref="J38:J53" si="2">C38*F38</f>
        <v>0</v>
      </c>
    </row>
    <row r="39" spans="2:10" ht="15" customHeight="1" x14ac:dyDescent="0.25">
      <c r="B39" s="33" t="s">
        <v>57</v>
      </c>
      <c r="C39" s="7">
        <v>0</v>
      </c>
      <c r="D39" s="34"/>
      <c r="E39" s="35" t="s">
        <v>58</v>
      </c>
      <c r="F39" s="36">
        <f>$F$9*0.4</f>
        <v>3.5200000000000002E-2</v>
      </c>
      <c r="G39" s="34"/>
      <c r="J39" s="37">
        <f t="shared" si="2"/>
        <v>0</v>
      </c>
    </row>
    <row r="40" spans="2:10" ht="15" customHeight="1" x14ac:dyDescent="0.25">
      <c r="B40" s="17" t="s">
        <v>59</v>
      </c>
      <c r="C40" s="7">
        <v>0</v>
      </c>
      <c r="D40" s="18"/>
      <c r="E40" s="38" t="s">
        <v>60</v>
      </c>
      <c r="F40" s="20">
        <f>0</f>
        <v>0</v>
      </c>
      <c r="G40" s="18"/>
      <c r="J40" s="21">
        <f t="shared" si="2"/>
        <v>0</v>
      </c>
    </row>
    <row r="41" spans="2:10" ht="15" customHeight="1" x14ac:dyDescent="0.25">
      <c r="B41" s="33" t="s">
        <v>61</v>
      </c>
      <c r="C41" s="7">
        <v>0</v>
      </c>
      <c r="D41" s="34"/>
      <c r="E41" s="39" t="s">
        <v>62</v>
      </c>
      <c r="F41" s="40">
        <v>0</v>
      </c>
      <c r="G41" s="34"/>
      <c r="J41" s="37">
        <f t="shared" si="2"/>
        <v>0</v>
      </c>
    </row>
    <row r="42" spans="2:10" ht="15" customHeight="1" x14ac:dyDescent="0.25">
      <c r="B42" s="11" t="s">
        <v>63</v>
      </c>
      <c r="C42" s="7">
        <v>10000</v>
      </c>
      <c r="E42" s="35" t="s">
        <v>64</v>
      </c>
      <c r="F42" s="13">
        <f>$F$9*0.3</f>
        <v>2.6399999999999996E-2</v>
      </c>
      <c r="J42" s="14">
        <f t="shared" si="2"/>
        <v>263.99999999999994</v>
      </c>
    </row>
    <row r="43" spans="2:10" ht="15" customHeight="1" x14ac:dyDescent="0.25">
      <c r="B43" s="3" t="s">
        <v>65</v>
      </c>
      <c r="C43" s="7">
        <v>997</v>
      </c>
      <c r="E43" s="32" t="s">
        <v>66</v>
      </c>
      <c r="F43" s="9">
        <f>$F$9*0.7</f>
        <v>6.1599999999999995E-2</v>
      </c>
      <c r="J43" s="10">
        <f t="shared" si="2"/>
        <v>61.415199999999992</v>
      </c>
    </row>
    <row r="44" spans="2:10" ht="15" customHeight="1" x14ac:dyDescent="0.25">
      <c r="B44" s="11" t="s">
        <v>67</v>
      </c>
      <c r="C44" s="7">
        <v>0</v>
      </c>
      <c r="E44" s="35" t="s">
        <v>66</v>
      </c>
      <c r="F44" s="13">
        <f>$F$9*0.7</f>
        <v>6.1599999999999995E-2</v>
      </c>
      <c r="J44" s="14">
        <f t="shared" si="2"/>
        <v>0</v>
      </c>
    </row>
    <row r="45" spans="2:10" ht="15" customHeight="1" x14ac:dyDescent="0.25">
      <c r="B45" s="3" t="s">
        <v>68</v>
      </c>
      <c r="C45" s="7">
        <v>300</v>
      </c>
      <c r="E45" s="32" t="s">
        <v>56</v>
      </c>
      <c r="F45" s="9">
        <f>$F$9</f>
        <v>8.7999999999999995E-2</v>
      </c>
      <c r="J45" s="10">
        <f t="shared" si="2"/>
        <v>26.4</v>
      </c>
    </row>
    <row r="46" spans="2:10" ht="15" customHeight="1" x14ac:dyDescent="0.25">
      <c r="B46" s="11" t="s">
        <v>69</v>
      </c>
      <c r="C46" s="7">
        <v>150</v>
      </c>
      <c r="E46" s="35" t="s">
        <v>56</v>
      </c>
      <c r="F46" s="13">
        <f>$F$9</f>
        <v>8.7999999999999995E-2</v>
      </c>
      <c r="J46" s="14">
        <f t="shared" si="2"/>
        <v>13.2</v>
      </c>
    </row>
    <row r="47" spans="2:10" ht="15" customHeight="1" x14ac:dyDescent="0.25">
      <c r="B47" s="3" t="s">
        <v>70</v>
      </c>
      <c r="C47" s="7">
        <v>100</v>
      </c>
      <c r="E47" s="32" t="s">
        <v>56</v>
      </c>
      <c r="F47" s="9">
        <f>$F$9</f>
        <v>8.7999999999999995E-2</v>
      </c>
      <c r="J47" s="10">
        <f t="shared" si="2"/>
        <v>8.7999999999999989</v>
      </c>
    </row>
    <row r="48" spans="2:10" ht="15" customHeight="1" x14ac:dyDescent="0.25">
      <c r="B48" s="11" t="s">
        <v>71</v>
      </c>
      <c r="C48" s="7">
        <v>300</v>
      </c>
      <c r="E48" s="35" t="s">
        <v>56</v>
      </c>
      <c r="F48" s="13">
        <f>$F$9</f>
        <v>8.7999999999999995E-2</v>
      </c>
      <c r="J48" s="14">
        <f t="shared" si="2"/>
        <v>26.4</v>
      </c>
    </row>
    <row r="49" spans="2:10" ht="15" customHeight="1" x14ac:dyDescent="0.25">
      <c r="B49" s="41" t="s">
        <v>72</v>
      </c>
      <c r="C49" s="7">
        <v>0</v>
      </c>
      <c r="E49" s="38" t="s">
        <v>73</v>
      </c>
      <c r="F49" s="9">
        <f>0</f>
        <v>0</v>
      </c>
      <c r="J49" s="10">
        <f t="shared" si="2"/>
        <v>0</v>
      </c>
    </row>
    <row r="50" spans="2:10" ht="15" customHeight="1" x14ac:dyDescent="0.25">
      <c r="B50" s="42" t="s">
        <v>74</v>
      </c>
      <c r="C50" s="7">
        <v>800</v>
      </c>
      <c r="E50" s="43" t="s">
        <v>73</v>
      </c>
      <c r="F50" s="13">
        <f>0</f>
        <v>0</v>
      </c>
      <c r="J50" s="14">
        <f t="shared" si="2"/>
        <v>0</v>
      </c>
    </row>
    <row r="51" spans="2:10" ht="15" customHeight="1" x14ac:dyDescent="0.25">
      <c r="B51" s="41" t="s">
        <v>75</v>
      </c>
      <c r="C51" s="7">
        <v>3000</v>
      </c>
      <c r="E51" s="38" t="s">
        <v>73</v>
      </c>
      <c r="F51" s="20">
        <f>0</f>
        <v>0</v>
      </c>
      <c r="J51" s="21">
        <f t="shared" si="2"/>
        <v>0</v>
      </c>
    </row>
    <row r="52" spans="2:10" ht="15" customHeight="1" x14ac:dyDescent="0.25">
      <c r="B52" s="11" t="s">
        <v>76</v>
      </c>
      <c r="C52" s="7">
        <v>0</v>
      </c>
      <c r="E52" s="35" t="s">
        <v>56</v>
      </c>
      <c r="F52" s="13">
        <f>$F$9</f>
        <v>8.7999999999999995E-2</v>
      </c>
      <c r="J52" s="14">
        <f t="shared" si="2"/>
        <v>0</v>
      </c>
    </row>
    <row r="53" spans="2:10" ht="15" customHeight="1" x14ac:dyDescent="0.25">
      <c r="B53" s="44" t="s">
        <v>77</v>
      </c>
      <c r="C53" s="7">
        <v>0</v>
      </c>
      <c r="E53" s="43" t="s">
        <v>73</v>
      </c>
      <c r="F53" s="36">
        <f>0</f>
        <v>0</v>
      </c>
      <c r="J53" s="37">
        <f t="shared" si="2"/>
        <v>0</v>
      </c>
    </row>
    <row r="55" spans="2:10" ht="15" customHeight="1" x14ac:dyDescent="0.25">
      <c r="B55" s="45" t="s">
        <v>78</v>
      </c>
      <c r="C55" s="45"/>
      <c r="D55" s="45"/>
      <c r="E55" s="45"/>
      <c r="F55" s="23"/>
      <c r="G55" s="23"/>
      <c r="H55" s="23"/>
      <c r="I55" s="24"/>
      <c r="J55" s="29">
        <f>SUM(J38:J53)</f>
        <v>400.21519999999987</v>
      </c>
    </row>
    <row r="56" spans="2:10" ht="15" customHeight="1" x14ac:dyDescent="0.25">
      <c r="B56" s="101"/>
      <c r="C56" s="101"/>
      <c r="D56" s="101"/>
      <c r="E56" s="101"/>
    </row>
    <row r="57" spans="2:10" ht="15" customHeight="1" x14ac:dyDescent="0.25">
      <c r="B57" s="96" t="s">
        <v>79</v>
      </c>
      <c r="C57" s="96"/>
      <c r="D57" s="96"/>
      <c r="E57" s="96"/>
      <c r="F57" s="96"/>
      <c r="G57" s="96"/>
      <c r="H57" s="96"/>
      <c r="I57" s="23"/>
      <c r="J57" s="23"/>
    </row>
    <row r="58" spans="2:10" ht="15" customHeight="1" x14ac:dyDescent="0.25">
      <c r="B58" s="46" t="s">
        <v>80</v>
      </c>
      <c r="C58" s="23"/>
      <c r="D58" s="23"/>
      <c r="E58" s="23"/>
      <c r="F58" s="47" t="s">
        <v>81</v>
      </c>
      <c r="H58" s="47" t="s">
        <v>82</v>
      </c>
      <c r="J58" s="47" t="s">
        <v>83</v>
      </c>
    </row>
    <row r="59" spans="2:10" ht="15" customHeight="1" x14ac:dyDescent="0.25">
      <c r="B59" s="48" t="s">
        <v>84</v>
      </c>
      <c r="F59" s="49">
        <f>Calc_Convencional!C121</f>
        <v>49556.571428571428</v>
      </c>
      <c r="H59" s="49">
        <f>Calc_Convencional!C122</f>
        <v>3835.1897382857137</v>
      </c>
      <c r="J59" s="49">
        <f>Calc_Convencional!C121</f>
        <v>49556.571428571428</v>
      </c>
    </row>
    <row r="60" spans="2:10" ht="15" customHeight="1" x14ac:dyDescent="0.25">
      <c r="B60" s="48" t="s">
        <v>85</v>
      </c>
      <c r="F60" s="49">
        <f>Calc_Hibrido!C28</f>
        <v>45721.381690285714</v>
      </c>
      <c r="H60" s="49">
        <f>Calc_Hibrido!C23</f>
        <v>14119.784799999999</v>
      </c>
      <c r="J60" s="21">
        <f>Calc_Hibrido!C30</f>
        <v>59841.166490285716</v>
      </c>
    </row>
    <row r="61" spans="2:10" ht="15" customHeight="1" x14ac:dyDescent="0.25">
      <c r="B61" s="50" t="s">
        <v>86</v>
      </c>
      <c r="C61" s="51"/>
      <c r="D61" s="51"/>
      <c r="E61" s="51"/>
      <c r="F61" s="52"/>
      <c r="H61" s="52"/>
      <c r="J61" s="53">
        <f>ABS(J59-J60)</f>
        <v>10284.595061714288</v>
      </c>
    </row>
    <row r="63" spans="2:10" ht="15" customHeight="1" x14ac:dyDescent="0.25">
      <c r="B63" s="97" t="str">
        <f>IF(J60&lt;J59,"✅ REGIME HÍBRIDO é mais vantajoso — economia de R$ "&amp;TEXT(ABS(J59-J60),"#,##0.00")&amp;" no mês",IF(J60&gt;J59,"✅ REGIME CONVENCIONAL é mais vantajoso — economia de R$ "&amp;TEXT(ABS(J59-J60),"#,##0.00")&amp;" no mês","⚖️ Os dois regimes resultam no mesmo valor total no mês (empate)"))</f>
        <v>✅ REGIME CONVENCIONAL é mais vantajoso — economia de R$ 10284,59506 no mês</v>
      </c>
      <c r="C63" s="97"/>
      <c r="D63" s="97"/>
      <c r="E63" s="97"/>
      <c r="F63" s="97"/>
      <c r="G63" s="97"/>
      <c r="H63" s="97"/>
      <c r="I63" s="97"/>
      <c r="J63" s="97"/>
    </row>
    <row r="64" spans="2:10" ht="21.75" customHeight="1" x14ac:dyDescent="0.25">
      <c r="B64" s="54" t="s">
        <v>87</v>
      </c>
      <c r="C64" s="51"/>
      <c r="D64" s="51"/>
      <c r="E64" s="51"/>
      <c r="F64" s="51"/>
      <c r="G64" s="51"/>
      <c r="H64" s="51"/>
      <c r="I64" s="51"/>
      <c r="J64" s="55">
        <f>Calc_Hibrido!C24</f>
        <v>0</v>
      </c>
    </row>
    <row r="66" spans="1:1" ht="15" customHeight="1" x14ac:dyDescent="0.25">
      <c r="A66" s="56" t="s">
        <v>88</v>
      </c>
    </row>
  </sheetData>
  <sheetProtection sheet="1" formatCells="0" formatColumns="0" formatRows="0" insertColumns="0" insertRows="0" deleteColumns="0" deleteRows="0" sort="0" pivotTables="0"/>
  <mergeCells count="23">
    <mergeCell ref="B57:H57"/>
    <mergeCell ref="B63:J63"/>
    <mergeCell ref="B21:G21"/>
    <mergeCell ref="B23:J23"/>
    <mergeCell ref="B33:J33"/>
    <mergeCell ref="B35:J36"/>
    <mergeCell ref="B56:E56"/>
    <mergeCell ref="B9:E9"/>
    <mergeCell ref="F9:J9"/>
    <mergeCell ref="B10:E10"/>
    <mergeCell ref="B12:J12"/>
    <mergeCell ref="B14:J14"/>
    <mergeCell ref="B6:E6"/>
    <mergeCell ref="F6:J6"/>
    <mergeCell ref="B7:E7"/>
    <mergeCell ref="F7:J7"/>
    <mergeCell ref="B8:E8"/>
    <mergeCell ref="F8:J8"/>
    <mergeCell ref="A1:J1"/>
    <mergeCell ref="A2:J2"/>
    <mergeCell ref="B4:J4"/>
    <mergeCell ref="B5:E5"/>
    <mergeCell ref="F5:J5"/>
  </mergeCells>
  <conditionalFormatting sqref="J55">
    <cfRule type="expression" dxfId="3" priority="2">
      <formula>J55&lt;=J56</formula>
    </cfRule>
    <cfRule type="expression" dxfId="2" priority="3">
      <formula>J55&gt;J56</formula>
    </cfRule>
  </conditionalFormatting>
  <conditionalFormatting sqref="J56">
    <cfRule type="expression" dxfId="1" priority="4">
      <formula>J56&lt;J55</formula>
    </cfRule>
    <cfRule type="expression" dxfId="0" priority="5">
      <formula>J56&gt;=J55</formula>
    </cfRule>
  </conditionalFormatting>
  <dataValidations count="3">
    <dataValidation type="list" sqref="F5" xr:uid="{00000000-0002-0000-0000-000000000000}">
      <formula1>"I,II,III,IV,V"</formula1>
      <formula2>0</formula2>
    </dataValidation>
    <dataValidation type="decimal" operator="greaterThanOrEqual" showErrorMessage="1" errorTitle="Inválido" error="Insira valor ≥ 0." sqref="C38:C53" xr:uid="{00000000-0002-0000-0000-000001000000}">
      <formula1>0</formula1>
      <formula2>0</formula2>
    </dataValidation>
    <dataValidation type="decimal" showErrorMessage="1" errorTitle="Alíquota inválida" error="Informe a alíquota presumida entre 0% e 100% (ex: 0,08 para 8%)." sqref="F41" xr:uid="{00000000-0002-0000-0000-000002000000}">
      <formula1>0</formula1>
      <formula2>1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2"/>
  <sheetViews>
    <sheetView showGridLines="0" zoomScaleNormal="100" workbookViewId="0">
      <selection activeCell="S16" sqref="S16"/>
    </sheetView>
  </sheetViews>
  <sheetFormatPr defaultColWidth="8.7109375" defaultRowHeight="15" x14ac:dyDescent="0.25"/>
  <cols>
    <col min="1" max="1" width="14" customWidth="1"/>
    <col min="2" max="2" width="7" customWidth="1"/>
    <col min="3" max="4" width="14" customWidth="1"/>
    <col min="5" max="5" width="11" customWidth="1"/>
    <col min="6" max="6" width="14" customWidth="1"/>
    <col min="7" max="11" width="9" customWidth="1"/>
    <col min="12" max="12" width="8.28515625" customWidth="1"/>
    <col min="13" max="13" width="8.85546875" customWidth="1"/>
    <col min="14" max="14" width="8.28515625" customWidth="1"/>
    <col min="15" max="15" width="10" customWidth="1"/>
    <col min="18" max="18" width="20.42578125" customWidth="1"/>
    <col min="19" max="19" width="16.42578125" customWidth="1"/>
    <col min="20" max="20" width="11.140625" customWidth="1"/>
    <col min="21" max="21" width="11.42578125" customWidth="1"/>
    <col min="22" max="22" width="10.85546875" customWidth="1"/>
    <col min="23" max="23" width="11" customWidth="1"/>
    <col min="24" max="24" width="18.85546875" customWidth="1"/>
  </cols>
  <sheetData>
    <row r="1" spans="1:25" ht="27.75" customHeight="1" x14ac:dyDescent="0.25">
      <c r="A1" s="102" t="s">
        <v>89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</row>
    <row r="2" spans="1:25" ht="27.75" customHeight="1" x14ac:dyDescent="0.25">
      <c r="A2" s="6" t="s">
        <v>90</v>
      </c>
      <c r="B2" s="6" t="s">
        <v>91</v>
      </c>
      <c r="C2" s="6" t="s">
        <v>92</v>
      </c>
      <c r="D2" s="6" t="s">
        <v>93</v>
      </c>
      <c r="E2" s="6" t="s">
        <v>94</v>
      </c>
      <c r="F2" s="6" t="s">
        <v>95</v>
      </c>
      <c r="G2" s="6" t="s">
        <v>96</v>
      </c>
      <c r="H2" s="6" t="s">
        <v>97</v>
      </c>
      <c r="I2" s="6" t="s">
        <v>98</v>
      </c>
      <c r="J2" s="6" t="s">
        <v>99</v>
      </c>
      <c r="K2" s="6" t="s">
        <v>100</v>
      </c>
      <c r="L2" s="6" t="s">
        <v>101</v>
      </c>
      <c r="M2" s="6" t="s">
        <v>102</v>
      </c>
      <c r="N2" s="6" t="s">
        <v>103</v>
      </c>
      <c r="O2" s="6" t="s">
        <v>104</v>
      </c>
      <c r="Q2" s="6" t="s">
        <v>90</v>
      </c>
      <c r="R2" s="6" t="s">
        <v>105</v>
      </c>
      <c r="S2" s="6" t="s">
        <v>106</v>
      </c>
      <c r="T2" s="6" t="s">
        <v>107</v>
      </c>
      <c r="U2" s="6" t="s">
        <v>108</v>
      </c>
      <c r="V2" s="6" t="s">
        <v>109</v>
      </c>
      <c r="W2" s="6" t="s">
        <v>110</v>
      </c>
      <c r="X2" s="6" t="s">
        <v>111</v>
      </c>
    </row>
    <row r="3" spans="1:25" ht="15.75" customHeight="1" x14ac:dyDescent="0.25">
      <c r="A3" s="57" t="s">
        <v>4</v>
      </c>
      <c r="B3" s="57">
        <v>1</v>
      </c>
      <c r="C3" s="58">
        <v>0</v>
      </c>
      <c r="D3" s="58">
        <v>180000</v>
      </c>
      <c r="E3" s="59">
        <v>0.04</v>
      </c>
      <c r="F3" s="58">
        <v>0</v>
      </c>
      <c r="G3" s="59">
        <v>5.5E-2</v>
      </c>
      <c r="H3" s="59">
        <v>3.5000000000000003E-2</v>
      </c>
      <c r="I3" s="59">
        <v>0.15329999999999999</v>
      </c>
      <c r="J3" s="59">
        <v>0.41499999999999998</v>
      </c>
      <c r="K3" s="59">
        <v>0.34</v>
      </c>
      <c r="L3" s="59">
        <v>1.6999999999999999E-3</v>
      </c>
      <c r="M3" s="59">
        <v>0</v>
      </c>
      <c r="N3" s="59">
        <v>0</v>
      </c>
      <c r="O3" s="60" t="str">
        <f t="shared" ref="O3:O32" si="0">A3&amp;"_"&amp;B3</f>
        <v>I_1</v>
      </c>
      <c r="Q3" s="57" t="s">
        <v>4</v>
      </c>
      <c r="R3" s="57" t="s">
        <v>112</v>
      </c>
      <c r="S3" s="58">
        <v>0</v>
      </c>
      <c r="T3" s="58">
        <v>0</v>
      </c>
      <c r="U3" s="59">
        <v>0</v>
      </c>
      <c r="V3" s="58">
        <v>0</v>
      </c>
      <c r="W3" s="59">
        <v>0</v>
      </c>
      <c r="X3" s="59">
        <v>0</v>
      </c>
      <c r="Y3" s="61"/>
    </row>
    <row r="4" spans="1:25" ht="15.75" customHeight="1" x14ac:dyDescent="0.25">
      <c r="A4" s="62" t="s">
        <v>4</v>
      </c>
      <c r="B4" s="62">
        <v>2</v>
      </c>
      <c r="C4" s="63">
        <v>180000.01</v>
      </c>
      <c r="D4" s="63">
        <v>360000</v>
      </c>
      <c r="E4" s="64">
        <v>7.2999999999999995E-2</v>
      </c>
      <c r="F4" s="63">
        <v>5940</v>
      </c>
      <c r="G4" s="64">
        <v>5.5E-2</v>
      </c>
      <c r="H4" s="64">
        <v>3.5000000000000003E-2</v>
      </c>
      <c r="I4" s="64">
        <v>0.15329999999999999</v>
      </c>
      <c r="J4" s="64">
        <v>0.41499999999999998</v>
      </c>
      <c r="K4" s="64">
        <v>0.34</v>
      </c>
      <c r="L4" s="64">
        <v>1.6999999999999999E-3</v>
      </c>
      <c r="M4" s="64">
        <v>0</v>
      </c>
      <c r="N4" s="64">
        <v>0</v>
      </c>
      <c r="O4" s="65" t="str">
        <f t="shared" si="0"/>
        <v>I_2</v>
      </c>
      <c r="Q4" s="57" t="s">
        <v>113</v>
      </c>
      <c r="R4" s="57" t="s">
        <v>112</v>
      </c>
      <c r="S4" s="58">
        <v>0</v>
      </c>
      <c r="T4" s="58">
        <v>0</v>
      </c>
      <c r="U4" s="59">
        <v>0</v>
      </c>
      <c r="V4" s="58">
        <v>0</v>
      </c>
      <c r="W4" s="59">
        <v>0</v>
      </c>
      <c r="X4" s="59">
        <v>0</v>
      </c>
      <c r="Y4" s="61"/>
    </row>
    <row r="5" spans="1:25" ht="15.75" customHeight="1" x14ac:dyDescent="0.25">
      <c r="A5" s="57" t="s">
        <v>4</v>
      </c>
      <c r="B5" s="57">
        <v>3</v>
      </c>
      <c r="C5" s="58">
        <v>360000.01</v>
      </c>
      <c r="D5" s="58">
        <v>720000</v>
      </c>
      <c r="E5" s="59">
        <v>9.5000000000000001E-2</v>
      </c>
      <c r="F5" s="58">
        <v>13860</v>
      </c>
      <c r="G5" s="59">
        <v>5.5E-2</v>
      </c>
      <c r="H5" s="59">
        <v>3.5000000000000003E-2</v>
      </c>
      <c r="I5" s="59">
        <v>0.15329999999999999</v>
      </c>
      <c r="J5" s="59">
        <v>0.42</v>
      </c>
      <c r="K5" s="59">
        <v>0.33500000000000002</v>
      </c>
      <c r="L5" s="59">
        <v>1.6999999999999999E-3</v>
      </c>
      <c r="M5" s="59">
        <v>0</v>
      </c>
      <c r="N5" s="59">
        <v>0</v>
      </c>
      <c r="O5" s="60" t="str">
        <f t="shared" si="0"/>
        <v>I_3</v>
      </c>
      <c r="Q5" s="57" t="s">
        <v>114</v>
      </c>
      <c r="R5" s="57" t="s">
        <v>115</v>
      </c>
      <c r="S5" s="58">
        <v>0.05</v>
      </c>
      <c r="T5" s="58">
        <v>6.0199999999999997E-2</v>
      </c>
      <c r="U5" s="59">
        <v>5.2600000000000001E-2</v>
      </c>
      <c r="V5" s="58">
        <v>0.2346</v>
      </c>
      <c r="W5" s="59">
        <v>0.65259999999999996</v>
      </c>
      <c r="X5" s="59">
        <v>1</v>
      </c>
      <c r="Y5" s="61"/>
    </row>
    <row r="6" spans="1:25" ht="15.75" customHeight="1" x14ac:dyDescent="0.25">
      <c r="A6" s="62" t="s">
        <v>4</v>
      </c>
      <c r="B6" s="62">
        <v>4</v>
      </c>
      <c r="C6" s="63">
        <v>720000.01</v>
      </c>
      <c r="D6" s="63">
        <v>1800000</v>
      </c>
      <c r="E6" s="64">
        <v>0.107</v>
      </c>
      <c r="F6" s="63">
        <v>22500</v>
      </c>
      <c r="G6" s="64">
        <v>5.5E-2</v>
      </c>
      <c r="H6" s="64">
        <v>3.5000000000000003E-2</v>
      </c>
      <c r="I6" s="64">
        <v>0.15329999999999999</v>
      </c>
      <c r="J6" s="64">
        <v>0.42</v>
      </c>
      <c r="K6" s="64">
        <v>0.33500000000000002</v>
      </c>
      <c r="L6" s="64">
        <v>1.6999999999999999E-3</v>
      </c>
      <c r="M6" s="64">
        <v>0</v>
      </c>
      <c r="N6" s="64">
        <v>0</v>
      </c>
      <c r="O6" s="65" t="str">
        <f t="shared" si="0"/>
        <v>I_4</v>
      </c>
      <c r="Q6" s="57" t="s">
        <v>116</v>
      </c>
      <c r="R6" s="57" t="s">
        <v>115</v>
      </c>
      <c r="S6" s="58">
        <v>0.05</v>
      </c>
      <c r="T6" s="58">
        <v>0.31330000000000002</v>
      </c>
      <c r="U6" s="59">
        <v>0.32</v>
      </c>
      <c r="V6" s="58">
        <v>0.36670000000000003</v>
      </c>
      <c r="W6" s="59">
        <v>0</v>
      </c>
      <c r="X6" s="59">
        <v>1</v>
      </c>
      <c r="Y6" s="61"/>
    </row>
    <row r="7" spans="1:25" ht="15.75" customHeight="1" x14ac:dyDescent="0.25">
      <c r="A7" s="57" t="s">
        <v>4</v>
      </c>
      <c r="B7" s="57">
        <v>5</v>
      </c>
      <c r="C7" s="58">
        <v>1800000.01</v>
      </c>
      <c r="D7" s="58">
        <v>3600000</v>
      </c>
      <c r="E7" s="59">
        <v>0.14299999999999999</v>
      </c>
      <c r="F7" s="58">
        <v>87300</v>
      </c>
      <c r="G7" s="59">
        <v>5.5E-2</v>
      </c>
      <c r="H7" s="59">
        <v>3.5000000000000003E-2</v>
      </c>
      <c r="I7" s="59">
        <v>0.15329999999999999</v>
      </c>
      <c r="J7" s="59">
        <v>0.42</v>
      </c>
      <c r="K7" s="59">
        <v>0.33500000000000002</v>
      </c>
      <c r="L7" s="59">
        <v>1.6999999999999999E-3</v>
      </c>
      <c r="M7" s="59">
        <v>0</v>
      </c>
      <c r="N7" s="59">
        <v>0</v>
      </c>
      <c r="O7" s="60" t="str">
        <f t="shared" si="0"/>
        <v>I_5</v>
      </c>
      <c r="Q7" s="57" t="s">
        <v>117</v>
      </c>
      <c r="R7" s="57" t="s">
        <v>115</v>
      </c>
      <c r="S7" s="58">
        <v>0.05</v>
      </c>
      <c r="T7" s="58">
        <v>0.30070000000000002</v>
      </c>
      <c r="U7" s="59">
        <v>0.16339999999999999</v>
      </c>
      <c r="V7" s="58">
        <v>0.22420000000000001</v>
      </c>
      <c r="W7" s="59">
        <v>0.31169999999999998</v>
      </c>
      <c r="X7" s="59">
        <v>1</v>
      </c>
      <c r="Y7" s="61"/>
    </row>
    <row r="8" spans="1:25" ht="15.75" customHeight="1" x14ac:dyDescent="0.25">
      <c r="A8" s="62" t="s">
        <v>4</v>
      </c>
      <c r="B8" s="62">
        <v>6</v>
      </c>
      <c r="C8" s="63">
        <v>3600000.01</v>
      </c>
      <c r="D8" s="63">
        <v>4800000</v>
      </c>
      <c r="E8" s="64">
        <v>0.189</v>
      </c>
      <c r="F8" s="63">
        <v>378000</v>
      </c>
      <c r="G8" s="64">
        <v>0.1358</v>
      </c>
      <c r="H8" s="64">
        <v>0.10059999999999999</v>
      </c>
      <c r="I8" s="64">
        <v>0.3402</v>
      </c>
      <c r="J8" s="64">
        <v>0.4234</v>
      </c>
      <c r="K8" s="64">
        <v>0</v>
      </c>
      <c r="L8" s="64">
        <v>0</v>
      </c>
      <c r="M8" s="64">
        <v>0</v>
      </c>
      <c r="N8" s="64">
        <v>0</v>
      </c>
      <c r="O8" s="65" t="str">
        <f t="shared" si="0"/>
        <v>I_6</v>
      </c>
      <c r="T8" s="61"/>
      <c r="U8" s="61"/>
      <c r="V8" s="61"/>
      <c r="W8" s="61"/>
    </row>
    <row r="9" spans="1:25" ht="15.75" customHeight="1" x14ac:dyDescent="0.25">
      <c r="A9" s="57" t="s">
        <v>113</v>
      </c>
      <c r="B9" s="57">
        <v>1</v>
      </c>
      <c r="C9" s="58">
        <v>0</v>
      </c>
      <c r="D9" s="58">
        <v>180000</v>
      </c>
      <c r="E9" s="59">
        <v>4.4999999999999998E-2</v>
      </c>
      <c r="F9" s="58">
        <v>0</v>
      </c>
      <c r="G9" s="59">
        <v>5.5E-2</v>
      </c>
      <c r="H9" s="59">
        <v>3.5000000000000003E-2</v>
      </c>
      <c r="I9" s="59">
        <v>0.13850000000000001</v>
      </c>
      <c r="J9" s="59">
        <v>0.375</v>
      </c>
      <c r="K9" s="59">
        <v>0.32</v>
      </c>
      <c r="L9" s="59">
        <v>1.5E-3</v>
      </c>
      <c r="M9" s="59">
        <v>7.4999999999999997E-2</v>
      </c>
      <c r="N9" s="59">
        <v>0</v>
      </c>
      <c r="O9" s="60" t="str">
        <f t="shared" si="0"/>
        <v>II_1</v>
      </c>
    </row>
    <row r="10" spans="1:25" ht="15.75" customHeight="1" x14ac:dyDescent="0.25">
      <c r="A10" s="62" t="s">
        <v>113</v>
      </c>
      <c r="B10" s="62">
        <v>2</v>
      </c>
      <c r="C10" s="63">
        <v>180000.01</v>
      </c>
      <c r="D10" s="63">
        <v>360000</v>
      </c>
      <c r="E10" s="64">
        <v>7.8E-2</v>
      </c>
      <c r="F10" s="63">
        <v>5940</v>
      </c>
      <c r="G10" s="64">
        <v>5.5E-2</v>
      </c>
      <c r="H10" s="64">
        <v>3.5000000000000003E-2</v>
      </c>
      <c r="I10" s="59">
        <v>0.13850000000000001</v>
      </c>
      <c r="J10" s="59">
        <v>0.375</v>
      </c>
      <c r="K10" s="59">
        <v>0.32</v>
      </c>
      <c r="L10" s="59">
        <v>1.5E-3</v>
      </c>
      <c r="M10" s="64">
        <v>7.4999999999999997E-2</v>
      </c>
      <c r="N10" s="64">
        <v>0</v>
      </c>
      <c r="O10" s="65" t="str">
        <f t="shared" si="0"/>
        <v>II_2</v>
      </c>
    </row>
    <row r="11" spans="1:25" ht="15.75" customHeight="1" x14ac:dyDescent="0.25">
      <c r="A11" s="57" t="s">
        <v>113</v>
      </c>
      <c r="B11" s="57">
        <v>3</v>
      </c>
      <c r="C11" s="58">
        <v>360000.01</v>
      </c>
      <c r="D11" s="58">
        <v>720000</v>
      </c>
      <c r="E11" s="59">
        <v>0.1</v>
      </c>
      <c r="F11" s="58">
        <v>13860</v>
      </c>
      <c r="G11" s="59">
        <v>5.5E-2</v>
      </c>
      <c r="H11" s="59">
        <v>3.5000000000000003E-2</v>
      </c>
      <c r="I11" s="59">
        <v>0.13850000000000001</v>
      </c>
      <c r="J11" s="59">
        <v>0.375</v>
      </c>
      <c r="K11" s="59">
        <v>0.32</v>
      </c>
      <c r="L11" s="59">
        <v>1.5E-3</v>
      </c>
      <c r="M11" s="59">
        <v>7.4999999999999997E-2</v>
      </c>
      <c r="N11" s="59">
        <v>0</v>
      </c>
      <c r="O11" s="60" t="str">
        <f t="shared" si="0"/>
        <v>II_3</v>
      </c>
    </row>
    <row r="12" spans="1:25" ht="15.75" customHeight="1" x14ac:dyDescent="0.25">
      <c r="A12" s="62" t="s">
        <v>113</v>
      </c>
      <c r="B12" s="62">
        <v>4</v>
      </c>
      <c r="C12" s="63">
        <v>720000.01</v>
      </c>
      <c r="D12" s="63">
        <v>1800000</v>
      </c>
      <c r="E12" s="64">
        <v>0.112</v>
      </c>
      <c r="F12" s="63">
        <v>22500</v>
      </c>
      <c r="G12" s="64">
        <v>5.5E-2</v>
      </c>
      <c r="H12" s="64">
        <v>3.5000000000000003E-2</v>
      </c>
      <c r="I12" s="59">
        <v>0.13850000000000001</v>
      </c>
      <c r="J12" s="59">
        <v>0.375</v>
      </c>
      <c r="K12" s="59">
        <v>0.32</v>
      </c>
      <c r="L12" s="59">
        <v>1.5E-3</v>
      </c>
      <c r="M12" s="64">
        <v>7.4999999999999997E-2</v>
      </c>
      <c r="N12" s="64">
        <v>0</v>
      </c>
      <c r="O12" s="65" t="str">
        <f t="shared" si="0"/>
        <v>II_4</v>
      </c>
    </row>
    <row r="13" spans="1:25" ht="15.75" customHeight="1" x14ac:dyDescent="0.25">
      <c r="A13" s="57" t="s">
        <v>113</v>
      </c>
      <c r="B13" s="57">
        <v>5</v>
      </c>
      <c r="C13" s="58">
        <v>1800000.01</v>
      </c>
      <c r="D13" s="58">
        <v>3600000</v>
      </c>
      <c r="E13" s="59">
        <v>0.14699999999999999</v>
      </c>
      <c r="F13" s="58">
        <v>85500</v>
      </c>
      <c r="G13" s="59">
        <v>5.5E-2</v>
      </c>
      <c r="H13" s="59">
        <v>3.5000000000000003E-2</v>
      </c>
      <c r="I13" s="59">
        <v>0.13850000000000001</v>
      </c>
      <c r="J13" s="59">
        <v>0.375</v>
      </c>
      <c r="K13" s="59">
        <v>0.32</v>
      </c>
      <c r="L13" s="59">
        <v>1.5E-3</v>
      </c>
      <c r="M13" s="59">
        <v>7.4999999999999997E-2</v>
      </c>
      <c r="N13" s="59">
        <v>0</v>
      </c>
      <c r="O13" s="60" t="str">
        <f t="shared" si="0"/>
        <v>II_5</v>
      </c>
    </row>
    <row r="14" spans="1:25" ht="15.75" customHeight="1" x14ac:dyDescent="0.25">
      <c r="A14" s="62" t="s">
        <v>113</v>
      </c>
      <c r="B14" s="62">
        <v>6</v>
      </c>
      <c r="C14" s="63">
        <v>3600000.01</v>
      </c>
      <c r="D14" s="63">
        <v>4800000</v>
      </c>
      <c r="E14" s="64">
        <v>0.29899999999999999</v>
      </c>
      <c r="F14" s="63">
        <v>720000</v>
      </c>
      <c r="G14" s="64">
        <v>8.5300000000000001E-2</v>
      </c>
      <c r="H14" s="64">
        <v>7.5300000000000006E-2</v>
      </c>
      <c r="I14" s="64">
        <v>0.25219999999999998</v>
      </c>
      <c r="J14" s="64">
        <v>0.2359</v>
      </c>
      <c r="K14" s="64">
        <v>0</v>
      </c>
      <c r="L14" s="64">
        <v>0</v>
      </c>
      <c r="M14" s="64">
        <v>0.3513</v>
      </c>
      <c r="N14" s="64">
        <v>0</v>
      </c>
      <c r="O14" s="65" t="str">
        <f t="shared" si="0"/>
        <v>II_6</v>
      </c>
    </row>
    <row r="15" spans="1:25" ht="15.75" customHeight="1" x14ac:dyDescent="0.25">
      <c r="A15" s="57" t="s">
        <v>114</v>
      </c>
      <c r="B15" s="57">
        <v>1</v>
      </c>
      <c r="C15" s="58">
        <v>0</v>
      </c>
      <c r="D15" s="58">
        <v>180000</v>
      </c>
      <c r="E15" s="59">
        <v>0.06</v>
      </c>
      <c r="F15" s="58">
        <v>0</v>
      </c>
      <c r="G15" s="59">
        <v>0.04</v>
      </c>
      <c r="H15" s="59">
        <v>3.5000000000000003E-2</v>
      </c>
      <c r="I15" s="59">
        <v>0.15429999999999999</v>
      </c>
      <c r="J15" s="59">
        <v>0.434</v>
      </c>
      <c r="K15" s="59">
        <v>0</v>
      </c>
      <c r="L15" s="59">
        <v>1.6999999999999999E-3</v>
      </c>
      <c r="M15" s="59">
        <v>0</v>
      </c>
      <c r="N15" s="59">
        <v>0.33500000000000002</v>
      </c>
      <c r="O15" s="60" t="str">
        <f t="shared" si="0"/>
        <v>III_1</v>
      </c>
    </row>
    <row r="16" spans="1:25" ht="15.75" customHeight="1" x14ac:dyDescent="0.25">
      <c r="A16" s="62" t="s">
        <v>114</v>
      </c>
      <c r="B16" s="62">
        <v>2</v>
      </c>
      <c r="C16" s="63">
        <v>180000.01</v>
      </c>
      <c r="D16" s="63">
        <v>360000</v>
      </c>
      <c r="E16" s="64">
        <v>0.112</v>
      </c>
      <c r="F16" s="63">
        <v>9360</v>
      </c>
      <c r="G16" s="64">
        <v>0.04</v>
      </c>
      <c r="H16" s="64">
        <v>3.5000000000000003E-2</v>
      </c>
      <c r="I16" s="64">
        <v>0.1691</v>
      </c>
      <c r="J16" s="59">
        <v>0.434</v>
      </c>
      <c r="K16" s="64">
        <v>0</v>
      </c>
      <c r="L16" s="64">
        <v>1.9E-3</v>
      </c>
      <c r="M16" s="64">
        <v>0</v>
      </c>
      <c r="N16" s="64">
        <v>0.32</v>
      </c>
      <c r="O16" s="65" t="str">
        <f t="shared" si="0"/>
        <v>III_2</v>
      </c>
    </row>
    <row r="17" spans="1:15" ht="15.75" customHeight="1" x14ac:dyDescent="0.25">
      <c r="A17" s="57" t="s">
        <v>114</v>
      </c>
      <c r="B17" s="57">
        <v>3</v>
      </c>
      <c r="C17" s="58">
        <v>360000.01</v>
      </c>
      <c r="D17" s="58">
        <v>720000</v>
      </c>
      <c r="E17" s="59">
        <v>0.13500000000000001</v>
      </c>
      <c r="F17" s="58">
        <v>17640</v>
      </c>
      <c r="G17" s="59">
        <v>0.04</v>
      </c>
      <c r="H17" s="59">
        <v>3.5000000000000003E-2</v>
      </c>
      <c r="I17" s="59">
        <v>0.1641</v>
      </c>
      <c r="J17" s="59">
        <v>0.434</v>
      </c>
      <c r="K17" s="59">
        <v>0</v>
      </c>
      <c r="L17" s="59">
        <v>1.9E-3</v>
      </c>
      <c r="M17" s="59">
        <v>0</v>
      </c>
      <c r="N17" s="59">
        <v>0.32500000000000001</v>
      </c>
      <c r="O17" s="60" t="str">
        <f t="shared" si="0"/>
        <v>III_3</v>
      </c>
    </row>
    <row r="18" spans="1:15" ht="15.75" customHeight="1" x14ac:dyDescent="0.25">
      <c r="A18" s="62" t="s">
        <v>114</v>
      </c>
      <c r="B18" s="62">
        <v>4</v>
      </c>
      <c r="C18" s="63">
        <v>720000.01</v>
      </c>
      <c r="D18" s="63">
        <v>1800000</v>
      </c>
      <c r="E18" s="64">
        <v>0.16</v>
      </c>
      <c r="F18" s="63">
        <v>35640</v>
      </c>
      <c r="G18" s="64">
        <v>0.04</v>
      </c>
      <c r="H18" s="64">
        <v>3.5000000000000003E-2</v>
      </c>
      <c r="I18" s="64">
        <v>0.1641</v>
      </c>
      <c r="J18" s="59">
        <v>0.434</v>
      </c>
      <c r="K18" s="64">
        <v>0</v>
      </c>
      <c r="L18" s="64">
        <v>1.9E-3</v>
      </c>
      <c r="M18" s="64">
        <v>0</v>
      </c>
      <c r="N18" s="64">
        <v>0.32500000000000001</v>
      </c>
      <c r="O18" s="65" t="str">
        <f t="shared" si="0"/>
        <v>III_4</v>
      </c>
    </row>
    <row r="19" spans="1:15" ht="15.75" customHeight="1" x14ac:dyDescent="0.25">
      <c r="A19" s="57" t="s">
        <v>114</v>
      </c>
      <c r="B19" s="57">
        <v>5</v>
      </c>
      <c r="C19" s="58">
        <v>1800000.01</v>
      </c>
      <c r="D19" s="58">
        <v>3600000</v>
      </c>
      <c r="E19" s="59">
        <v>0.21</v>
      </c>
      <c r="F19" s="58">
        <v>125640</v>
      </c>
      <c r="G19" s="59">
        <v>0.04</v>
      </c>
      <c r="H19" s="59">
        <v>3.5000000000000003E-2</v>
      </c>
      <c r="I19" s="59">
        <v>0.15429999999999999</v>
      </c>
      <c r="J19" s="59">
        <v>0.434</v>
      </c>
      <c r="K19" s="59">
        <v>0</v>
      </c>
      <c r="L19" s="59">
        <v>1.6999999999999999E-3</v>
      </c>
      <c r="M19" s="59">
        <v>0</v>
      </c>
      <c r="N19" s="59">
        <v>0.33500000000000002</v>
      </c>
      <c r="O19" s="60" t="str">
        <f t="shared" si="0"/>
        <v>III_5</v>
      </c>
    </row>
    <row r="20" spans="1:15" ht="15.75" customHeight="1" x14ac:dyDescent="0.25">
      <c r="A20" s="62" t="s">
        <v>114</v>
      </c>
      <c r="B20" s="62">
        <v>6</v>
      </c>
      <c r="C20" s="63">
        <v>3600000.01</v>
      </c>
      <c r="D20" s="63">
        <v>4800000</v>
      </c>
      <c r="E20" s="64">
        <v>0.32900000000000001</v>
      </c>
      <c r="F20" s="63">
        <v>648000</v>
      </c>
      <c r="G20" s="64">
        <v>0.35089999999999999</v>
      </c>
      <c r="H20" s="64">
        <v>0.15040000000000001</v>
      </c>
      <c r="I20" s="64">
        <v>0.19289999999999999</v>
      </c>
      <c r="J20" s="64">
        <v>0.30580000000000002</v>
      </c>
      <c r="K20" s="64">
        <v>0</v>
      </c>
      <c r="L20" s="64">
        <v>0</v>
      </c>
      <c r="M20" s="64">
        <v>0</v>
      </c>
      <c r="N20" s="64">
        <v>0</v>
      </c>
      <c r="O20" s="65" t="str">
        <f t="shared" si="0"/>
        <v>III_6</v>
      </c>
    </row>
    <row r="21" spans="1:15" ht="15.75" customHeight="1" x14ac:dyDescent="0.25">
      <c r="A21" s="57" t="s">
        <v>116</v>
      </c>
      <c r="B21" s="57">
        <v>1</v>
      </c>
      <c r="C21" s="58">
        <v>0</v>
      </c>
      <c r="D21" s="58">
        <v>180000</v>
      </c>
      <c r="E21" s="59">
        <v>4.4999999999999998E-2</v>
      </c>
      <c r="F21" s="58">
        <v>0</v>
      </c>
      <c r="G21" s="59">
        <v>0.188</v>
      </c>
      <c r="H21" s="59">
        <v>0.152</v>
      </c>
      <c r="I21" s="59">
        <v>0.21260000000000001</v>
      </c>
      <c r="J21" s="59">
        <v>0</v>
      </c>
      <c r="K21" s="59">
        <v>0</v>
      </c>
      <c r="L21" s="59">
        <v>2.3999999999999998E-3</v>
      </c>
      <c r="M21" s="59">
        <v>0</v>
      </c>
      <c r="N21" s="59">
        <v>0.44500000000000001</v>
      </c>
      <c r="O21" s="60" t="str">
        <f t="shared" si="0"/>
        <v>IV_1</v>
      </c>
    </row>
    <row r="22" spans="1:15" ht="15.75" customHeight="1" x14ac:dyDescent="0.25">
      <c r="A22" s="62" t="s">
        <v>116</v>
      </c>
      <c r="B22" s="62">
        <v>2</v>
      </c>
      <c r="C22" s="63">
        <v>180000.01</v>
      </c>
      <c r="D22" s="63">
        <v>360000</v>
      </c>
      <c r="E22" s="64">
        <v>0.09</v>
      </c>
      <c r="F22" s="63">
        <v>8100</v>
      </c>
      <c r="G22" s="64">
        <v>0.19800000000000001</v>
      </c>
      <c r="H22" s="64">
        <v>0.152</v>
      </c>
      <c r="I22" s="64">
        <v>0.24729999999999999</v>
      </c>
      <c r="J22" s="64">
        <v>0</v>
      </c>
      <c r="K22" s="64">
        <v>0</v>
      </c>
      <c r="L22" s="64">
        <v>2.7000000000000001E-3</v>
      </c>
      <c r="M22" s="64">
        <v>0</v>
      </c>
      <c r="N22" s="64">
        <v>0.4</v>
      </c>
      <c r="O22" s="65" t="str">
        <f t="shared" si="0"/>
        <v>IV_2</v>
      </c>
    </row>
    <row r="23" spans="1:15" ht="15.75" customHeight="1" x14ac:dyDescent="0.25">
      <c r="A23" s="57" t="s">
        <v>116</v>
      </c>
      <c r="B23" s="57">
        <v>3</v>
      </c>
      <c r="C23" s="58">
        <v>360000.01</v>
      </c>
      <c r="D23" s="58">
        <v>720000</v>
      </c>
      <c r="E23" s="59">
        <v>0.10199999999999999</v>
      </c>
      <c r="F23" s="58">
        <v>12420</v>
      </c>
      <c r="G23" s="59">
        <v>0.20799999999999999</v>
      </c>
      <c r="H23" s="59">
        <v>0.152</v>
      </c>
      <c r="I23" s="59">
        <v>0.2374</v>
      </c>
      <c r="J23" s="59">
        <v>0</v>
      </c>
      <c r="K23" s="59">
        <v>0</v>
      </c>
      <c r="L23" s="59">
        <v>2.5999999999999999E-3</v>
      </c>
      <c r="M23" s="59">
        <v>0</v>
      </c>
      <c r="N23" s="59">
        <v>0.4</v>
      </c>
      <c r="O23" s="60" t="str">
        <f t="shared" si="0"/>
        <v>IV_3</v>
      </c>
    </row>
    <row r="24" spans="1:15" ht="15.75" customHeight="1" x14ac:dyDescent="0.25">
      <c r="A24" s="62" t="s">
        <v>116</v>
      </c>
      <c r="B24" s="62">
        <v>4</v>
      </c>
      <c r="C24" s="63">
        <v>720000.01</v>
      </c>
      <c r="D24" s="63">
        <v>1800000</v>
      </c>
      <c r="E24" s="64">
        <v>0.14000000000000001</v>
      </c>
      <c r="F24" s="63">
        <v>39780</v>
      </c>
      <c r="G24" s="64">
        <v>0.17799999999999999</v>
      </c>
      <c r="H24" s="64">
        <v>0.192</v>
      </c>
      <c r="I24" s="64">
        <v>0.22750000000000001</v>
      </c>
      <c r="J24" s="64">
        <v>0</v>
      </c>
      <c r="K24" s="64">
        <v>0</v>
      </c>
      <c r="L24" s="64">
        <v>2.5000000000000001E-3</v>
      </c>
      <c r="M24" s="64">
        <v>0</v>
      </c>
      <c r="N24" s="64">
        <v>0.4</v>
      </c>
      <c r="O24" s="65" t="str">
        <f t="shared" si="0"/>
        <v>IV_4</v>
      </c>
    </row>
    <row r="25" spans="1:15" ht="15.75" customHeight="1" x14ac:dyDescent="0.25">
      <c r="A25" s="57" t="s">
        <v>116</v>
      </c>
      <c r="B25" s="57">
        <v>5</v>
      </c>
      <c r="C25" s="58">
        <v>1800000.01</v>
      </c>
      <c r="D25" s="58">
        <v>3600000</v>
      </c>
      <c r="E25" s="59">
        <v>0.22</v>
      </c>
      <c r="F25" s="58">
        <v>183780</v>
      </c>
      <c r="G25" s="59">
        <v>0.188</v>
      </c>
      <c r="H25" s="59">
        <v>0.192</v>
      </c>
      <c r="I25" s="59">
        <v>0.21759999999999999</v>
      </c>
      <c r="J25" s="59">
        <v>0</v>
      </c>
      <c r="K25" s="59">
        <v>0</v>
      </c>
      <c r="L25" s="59">
        <v>2.3999999999999998E-3</v>
      </c>
      <c r="M25" s="59">
        <v>0</v>
      </c>
      <c r="N25" s="59">
        <v>0.4</v>
      </c>
      <c r="O25" s="60" t="str">
        <f t="shared" si="0"/>
        <v>IV_5</v>
      </c>
    </row>
    <row r="26" spans="1:15" ht="15.75" customHeight="1" x14ac:dyDescent="0.25">
      <c r="A26" s="62" t="s">
        <v>116</v>
      </c>
      <c r="B26" s="62">
        <v>6</v>
      </c>
      <c r="C26" s="63">
        <v>3600000.01</v>
      </c>
      <c r="D26" s="63">
        <v>4800000</v>
      </c>
      <c r="E26" s="64">
        <v>0.32900000000000001</v>
      </c>
      <c r="F26" s="63">
        <v>828000</v>
      </c>
      <c r="G26" s="64">
        <v>0.53710000000000002</v>
      </c>
      <c r="H26" s="64">
        <v>0.21590000000000001</v>
      </c>
      <c r="I26" s="64">
        <v>0.247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5" t="str">
        <f t="shared" si="0"/>
        <v>IV_6</v>
      </c>
    </row>
    <row r="27" spans="1:15" ht="15.75" customHeight="1" x14ac:dyDescent="0.25">
      <c r="A27" s="57" t="s">
        <v>117</v>
      </c>
      <c r="B27" s="57">
        <v>1</v>
      </c>
      <c r="C27" s="58">
        <v>0</v>
      </c>
      <c r="D27" s="58">
        <v>180000</v>
      </c>
      <c r="E27" s="59">
        <v>0.155</v>
      </c>
      <c r="F27" s="58">
        <v>0</v>
      </c>
      <c r="G27" s="59">
        <v>0.25</v>
      </c>
      <c r="H27" s="59">
        <v>0.15</v>
      </c>
      <c r="I27" s="59">
        <v>0.1696</v>
      </c>
      <c r="J27" s="59">
        <v>0.28849999999999998</v>
      </c>
      <c r="K27" s="59">
        <v>0</v>
      </c>
      <c r="L27" s="59">
        <v>1.9E-3</v>
      </c>
      <c r="M27" s="59">
        <v>0</v>
      </c>
      <c r="N27" s="59">
        <v>0.14000000000000001</v>
      </c>
      <c r="O27" s="60" t="str">
        <f t="shared" si="0"/>
        <v>V_1</v>
      </c>
    </row>
    <row r="28" spans="1:15" ht="15.75" customHeight="1" x14ac:dyDescent="0.25">
      <c r="A28" s="62" t="s">
        <v>117</v>
      </c>
      <c r="B28" s="62">
        <v>2</v>
      </c>
      <c r="C28" s="63">
        <v>180000.01</v>
      </c>
      <c r="D28" s="63">
        <v>360000</v>
      </c>
      <c r="E28" s="64">
        <v>0.18</v>
      </c>
      <c r="F28" s="63">
        <v>4500</v>
      </c>
      <c r="G28" s="64">
        <v>0.23</v>
      </c>
      <c r="H28" s="64">
        <v>0.15</v>
      </c>
      <c r="I28" s="64">
        <v>0.1696</v>
      </c>
      <c r="J28" s="64">
        <v>0.27850000000000003</v>
      </c>
      <c r="K28" s="64">
        <v>0</v>
      </c>
      <c r="L28" s="64">
        <v>1.9E-3</v>
      </c>
      <c r="M28" s="64">
        <v>0</v>
      </c>
      <c r="N28" s="64">
        <v>0.17</v>
      </c>
      <c r="O28" s="65" t="str">
        <f t="shared" si="0"/>
        <v>V_2</v>
      </c>
    </row>
    <row r="29" spans="1:15" ht="15.75" customHeight="1" x14ac:dyDescent="0.25">
      <c r="A29" s="57" t="s">
        <v>117</v>
      </c>
      <c r="B29" s="57">
        <v>3</v>
      </c>
      <c r="C29" s="58">
        <v>360000.01</v>
      </c>
      <c r="D29" s="58">
        <v>720000</v>
      </c>
      <c r="E29" s="59">
        <v>0.19500000000000001</v>
      </c>
      <c r="F29" s="58">
        <v>9900</v>
      </c>
      <c r="G29" s="59">
        <v>0.24</v>
      </c>
      <c r="H29" s="59">
        <v>0.15</v>
      </c>
      <c r="I29" s="59">
        <v>0.17949999999999999</v>
      </c>
      <c r="J29" s="59">
        <v>0.23849999999999999</v>
      </c>
      <c r="K29" s="59">
        <v>0</v>
      </c>
      <c r="L29" s="59">
        <v>2E-3</v>
      </c>
      <c r="M29" s="59">
        <v>0</v>
      </c>
      <c r="N29" s="59">
        <v>0.19</v>
      </c>
      <c r="O29" s="60" t="str">
        <f t="shared" si="0"/>
        <v>V_3</v>
      </c>
    </row>
    <row r="30" spans="1:15" ht="15.75" customHeight="1" x14ac:dyDescent="0.25">
      <c r="A30" s="62" t="s">
        <v>117</v>
      </c>
      <c r="B30" s="62">
        <v>4</v>
      </c>
      <c r="C30" s="63">
        <v>720000.01</v>
      </c>
      <c r="D30" s="63">
        <v>1800000</v>
      </c>
      <c r="E30" s="64">
        <v>0.20499999999999999</v>
      </c>
      <c r="F30" s="63">
        <v>17100</v>
      </c>
      <c r="G30" s="64">
        <v>0.21</v>
      </c>
      <c r="H30" s="64">
        <v>0.15</v>
      </c>
      <c r="I30" s="64">
        <v>0.18940000000000001</v>
      </c>
      <c r="J30" s="59">
        <v>0.23849999999999999</v>
      </c>
      <c r="K30" s="64">
        <v>0</v>
      </c>
      <c r="L30" s="64">
        <v>2.0999999999999999E-3</v>
      </c>
      <c r="M30" s="64">
        <v>0</v>
      </c>
      <c r="N30" s="64">
        <v>0.21</v>
      </c>
      <c r="O30" s="65" t="str">
        <f t="shared" si="0"/>
        <v>V_4</v>
      </c>
    </row>
    <row r="31" spans="1:15" ht="15.75" customHeight="1" x14ac:dyDescent="0.25">
      <c r="A31" s="57" t="s">
        <v>117</v>
      </c>
      <c r="B31" s="57">
        <v>5</v>
      </c>
      <c r="C31" s="58">
        <v>1800000.01</v>
      </c>
      <c r="D31" s="58">
        <v>3600000</v>
      </c>
      <c r="E31" s="59">
        <v>0.23</v>
      </c>
      <c r="F31" s="58">
        <v>62100</v>
      </c>
      <c r="G31" s="59">
        <v>0.23</v>
      </c>
      <c r="H31" s="59">
        <v>0.125</v>
      </c>
      <c r="I31" s="59">
        <v>0.1696</v>
      </c>
      <c r="J31" s="59">
        <v>0.23849999999999999</v>
      </c>
      <c r="K31" s="59">
        <v>0</v>
      </c>
      <c r="L31" s="59">
        <v>1.9E-3</v>
      </c>
      <c r="M31" s="59">
        <v>0</v>
      </c>
      <c r="N31" s="59">
        <v>0.23499999999999999</v>
      </c>
      <c r="O31" s="60" t="str">
        <f t="shared" si="0"/>
        <v>V_5</v>
      </c>
    </row>
    <row r="32" spans="1:15" ht="15.75" customHeight="1" x14ac:dyDescent="0.25">
      <c r="A32" s="62" t="s">
        <v>117</v>
      </c>
      <c r="B32" s="62">
        <v>6</v>
      </c>
      <c r="C32" s="63">
        <v>3600000.01</v>
      </c>
      <c r="D32" s="63">
        <v>4800000</v>
      </c>
      <c r="E32" s="64">
        <v>0.30399999999999999</v>
      </c>
      <c r="F32" s="63">
        <v>540000</v>
      </c>
      <c r="G32" s="64">
        <v>0.35099999999999998</v>
      </c>
      <c r="H32" s="64">
        <v>0.15540000000000001</v>
      </c>
      <c r="I32" s="64">
        <v>0.1978</v>
      </c>
      <c r="J32" s="64">
        <v>0.29580000000000001</v>
      </c>
      <c r="K32" s="64">
        <v>0</v>
      </c>
      <c r="L32" s="64">
        <v>0</v>
      </c>
      <c r="M32" s="64">
        <v>0</v>
      </c>
      <c r="N32" s="64">
        <v>0</v>
      </c>
      <c r="O32" s="65" t="str">
        <f t="shared" si="0"/>
        <v>V_6</v>
      </c>
    </row>
  </sheetData>
  <sheetProtection sheet="1"/>
  <autoFilter ref="A2:O32" xr:uid="{00000000-0009-0000-0000-000001000000}"/>
  <mergeCells count="1">
    <mergeCell ref="A1:O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3"/>
  <sheetViews>
    <sheetView showGridLines="0" topLeftCell="A71" zoomScaleNormal="100" workbookViewId="0">
      <selection activeCell="C84" sqref="C84"/>
    </sheetView>
  </sheetViews>
  <sheetFormatPr defaultColWidth="8.7109375" defaultRowHeight="15" x14ac:dyDescent="0.25"/>
  <cols>
    <col min="1" max="1" width="72.85546875" customWidth="1"/>
    <col min="2" max="2" width="5.5703125" customWidth="1"/>
    <col min="3" max="3" width="43.28515625" customWidth="1"/>
  </cols>
  <sheetData>
    <row r="1" spans="1:3" ht="25.5" customHeight="1" x14ac:dyDescent="0.25">
      <c r="A1" s="103" t="s">
        <v>118</v>
      </c>
      <c r="B1" s="103"/>
      <c r="C1" s="103"/>
    </row>
    <row r="2" spans="1:3" ht="18" customHeight="1" x14ac:dyDescent="0.25">
      <c r="A2" s="104" t="s">
        <v>119</v>
      </c>
      <c r="B2" s="104"/>
      <c r="C2" s="104"/>
    </row>
    <row r="3" spans="1:3" ht="18" customHeight="1" x14ac:dyDescent="0.25">
      <c r="A3" s="95" t="s">
        <v>120</v>
      </c>
      <c r="B3" s="95"/>
      <c r="C3" s="95"/>
    </row>
    <row r="4" spans="1:3" ht="19.5" customHeight="1" x14ac:dyDescent="0.25">
      <c r="A4" s="17" t="s">
        <v>121</v>
      </c>
      <c r="C4" s="66" t="str">
        <f>Dashboard!F5</f>
        <v>III</v>
      </c>
    </row>
    <row r="5" spans="1:3" ht="19.5" customHeight="1" x14ac:dyDescent="0.25">
      <c r="A5" s="17" t="s">
        <v>122</v>
      </c>
      <c r="C5" s="67">
        <f>Dashboard!C32</f>
        <v>330000</v>
      </c>
    </row>
    <row r="6" spans="1:3" ht="19.5" customHeight="1" x14ac:dyDescent="0.25">
      <c r="A6" s="33" t="s">
        <v>123</v>
      </c>
      <c r="C6" s="68">
        <f>Dashboard!F6</f>
        <v>2100000</v>
      </c>
    </row>
    <row r="7" spans="1:3" ht="19.5" customHeight="1" x14ac:dyDescent="0.25">
      <c r="A7" s="33" t="s">
        <v>124</v>
      </c>
      <c r="C7" s="68">
        <f>Dashboard!F7</f>
        <v>165000</v>
      </c>
    </row>
    <row r="8" spans="1:3" ht="19.5" customHeight="1" x14ac:dyDescent="0.25">
      <c r="A8" s="33" t="s">
        <v>125</v>
      </c>
      <c r="C8" s="68">
        <f>C5-C9</f>
        <v>330000</v>
      </c>
    </row>
    <row r="9" spans="1:3" ht="19.5" customHeight="1" x14ac:dyDescent="0.25">
      <c r="A9" s="33" t="s">
        <v>126</v>
      </c>
      <c r="C9" s="68">
        <f>MIN(C5,MAX(0,C7-C23))</f>
        <v>0</v>
      </c>
    </row>
    <row r="10" spans="1:3" ht="19.5" customHeight="1" x14ac:dyDescent="0.25">
      <c r="A10" s="17" t="s">
        <v>127</v>
      </c>
      <c r="C10" s="67">
        <f>C96</f>
        <v>49556.571428571428</v>
      </c>
    </row>
    <row r="11" spans="1:3" ht="19.5" customHeight="1" x14ac:dyDescent="0.25">
      <c r="A11" s="33" t="s">
        <v>128</v>
      </c>
      <c r="C11" s="69" t="str">
        <f>IF(C6&gt;C23,"Sim","Não")</f>
        <v>Não</v>
      </c>
    </row>
    <row r="12" spans="1:3" ht="19.5" customHeight="1" x14ac:dyDescent="0.25">
      <c r="A12" s="33" t="s">
        <v>129</v>
      </c>
      <c r="C12" s="69" t="str">
        <f>IF(C7&gt;C23,"Sim","Não")</f>
        <v>Não</v>
      </c>
    </row>
    <row r="13" spans="1:3" ht="18" customHeight="1" x14ac:dyDescent="0.25">
      <c r="A13" s="95" t="s">
        <v>130</v>
      </c>
      <c r="B13" s="95"/>
      <c r="C13" s="95"/>
    </row>
    <row r="14" spans="1:3" ht="19.5" customHeight="1" x14ac:dyDescent="0.25">
      <c r="A14" s="17" t="s">
        <v>131</v>
      </c>
      <c r="C14" s="66">
        <f>IFERROR(SUMPRODUCT((Base_Dados!A3:A32=C4)*(Base_Dados!C3:C32&lt;=C6)*(Base_Dados!D3:D32&gt;=C6)*Base_Dados!B3:B32),"?")</f>
        <v>5</v>
      </c>
    </row>
    <row r="15" spans="1:3" ht="19.5" customHeight="1" x14ac:dyDescent="0.25">
      <c r="A15" s="33" t="s">
        <v>132</v>
      </c>
      <c r="C15" s="70" t="str">
        <f>IFERROR(C4&amp;"_"&amp;C14,"Erro")</f>
        <v>III_5</v>
      </c>
    </row>
    <row r="16" spans="1:3" ht="19.5" customHeight="1" x14ac:dyDescent="0.25">
      <c r="A16" s="17" t="s">
        <v>133</v>
      </c>
      <c r="C16" s="20">
        <f>IFERROR(INDEX(Base_Dados!E3:E32,MATCH(C15,Base_Dados!O3:O32,0)),"?")</f>
        <v>0.21</v>
      </c>
    </row>
    <row r="17" spans="1:3" ht="19.5" customHeight="1" x14ac:dyDescent="0.25">
      <c r="A17" s="33" t="s">
        <v>134</v>
      </c>
      <c r="C17" s="68">
        <f>IFERROR(INDEX(Base_Dados!F3:F32,MATCH(C15,Base_Dados!O3:O32,0)),"?")</f>
        <v>125640</v>
      </c>
    </row>
    <row r="18" spans="1:3" ht="19.5" customHeight="1" x14ac:dyDescent="0.25">
      <c r="A18" s="17" t="s">
        <v>135</v>
      </c>
      <c r="C18" s="20">
        <f>IFERROR(INDEX(Base_Dados!I3:I32,MATCH(C15,Base_Dados!O3:O32,0)),"?")</f>
        <v>0.15429999999999999</v>
      </c>
    </row>
    <row r="19" spans="1:3" ht="19.5" customHeight="1" x14ac:dyDescent="0.25">
      <c r="A19" s="33" t="s">
        <v>136</v>
      </c>
      <c r="C19" s="36">
        <v>0</v>
      </c>
    </row>
    <row r="20" spans="1:3" ht="19.5" customHeight="1" x14ac:dyDescent="0.25">
      <c r="A20" s="17" t="s">
        <v>137</v>
      </c>
      <c r="C20" s="20">
        <f>IFERROR(INDEX(Base_Dados!N3:N32,MATCH(C15,Base_Dados!O3:O32,0)),"?")</f>
        <v>0.33500000000000002</v>
      </c>
    </row>
    <row r="21" spans="1:3" ht="19.5" customHeight="1" x14ac:dyDescent="0.25">
      <c r="A21" s="33" t="s">
        <v>138</v>
      </c>
      <c r="C21" s="36">
        <f>IFERROR(INDEX(Base_Dados!K3:K32,MATCH(C15,Base_Dados!O3:O32,0)),"?")</f>
        <v>0</v>
      </c>
    </row>
    <row r="22" spans="1:3" ht="19.5" customHeight="1" x14ac:dyDescent="0.25">
      <c r="A22" s="33"/>
      <c r="C22" s="36"/>
    </row>
    <row r="23" spans="1:3" ht="19.5" customHeight="1" x14ac:dyDescent="0.25">
      <c r="A23" s="33" t="s">
        <v>139</v>
      </c>
      <c r="C23" s="68">
        <f>Dashboard!F10</f>
        <v>3600000</v>
      </c>
    </row>
    <row r="24" spans="1:3" ht="19.5" customHeight="1" x14ac:dyDescent="0.25">
      <c r="A24" s="33" t="s">
        <v>140</v>
      </c>
      <c r="C24" s="69" t="str">
        <f>C4&amp;"_5"</f>
        <v>III_5</v>
      </c>
    </row>
    <row r="25" spans="1:3" ht="19.5" customHeight="1" x14ac:dyDescent="0.25">
      <c r="A25" s="33" t="s">
        <v>141</v>
      </c>
      <c r="C25" s="69">
        <f>IFERROR(INDEX(Base_Dados!E3:E32,MATCH(C24,Base_Dados!O3:O32,0)),0)</f>
        <v>0.21</v>
      </c>
    </row>
    <row r="26" spans="1:3" ht="19.5" customHeight="1" x14ac:dyDescent="0.25">
      <c r="A26" s="33" t="s">
        <v>142</v>
      </c>
      <c r="C26" s="68">
        <f>IFERROR(INDEX(Base_Dados!F3:F32,MATCH(C24,Base_Dados!O3:O32,0)),0)</f>
        <v>125640</v>
      </c>
    </row>
    <row r="27" spans="1:3" ht="19.5" customHeight="1" x14ac:dyDescent="0.25">
      <c r="A27" s="33" t="s">
        <v>143</v>
      </c>
      <c r="C27" s="69">
        <f>IFERROR(INDEX(Base_Dados!K3:K32,MATCH(C24,Base_Dados!O3:O32,0)),0)</f>
        <v>0</v>
      </c>
    </row>
    <row r="28" spans="1:3" ht="19.5" customHeight="1" x14ac:dyDescent="0.25">
      <c r="A28" s="33" t="s">
        <v>144</v>
      </c>
      <c r="C28" s="69">
        <f>IFERROR(INDEX(Base_Dados!N3:N32,MATCH(C24,Base_Dados!O3:O32,0)),0)</f>
        <v>0.33500000000000002</v>
      </c>
    </row>
    <row r="29" spans="1:3" ht="19.5" customHeight="1" x14ac:dyDescent="0.25">
      <c r="A29" s="33" t="s">
        <v>145</v>
      </c>
      <c r="C29" s="69">
        <f>IFERROR(INDEX(Base_Dados!L3:L32,MATCH(C24,Base_Dados!O3:O32,0)),0)</f>
        <v>1.6999999999999999E-3</v>
      </c>
    </row>
    <row r="30" spans="1:3" ht="19.5" customHeight="1" x14ac:dyDescent="0.25">
      <c r="A30" s="33"/>
      <c r="C30" s="36"/>
    </row>
    <row r="31" spans="1:3" ht="19.5" customHeight="1" x14ac:dyDescent="0.25">
      <c r="A31" s="33"/>
      <c r="C31" s="36"/>
    </row>
    <row r="32" spans="1:3" ht="18" customHeight="1" x14ac:dyDescent="0.25">
      <c r="A32" s="95" t="s">
        <v>146</v>
      </c>
      <c r="B32" s="95"/>
      <c r="C32" s="95"/>
    </row>
    <row r="33" spans="1:5" ht="19.5" customHeight="1" x14ac:dyDescent="0.25">
      <c r="A33" s="33" t="s">
        <v>147</v>
      </c>
      <c r="C33" s="69">
        <f>IFERROR((C6*C16-C17)/C6,0)</f>
        <v>0.15017142857142857</v>
      </c>
      <c r="E33" s="71"/>
    </row>
    <row r="34" spans="1:5" ht="19.5" customHeight="1" x14ac:dyDescent="0.25">
      <c r="A34" s="17" t="s">
        <v>148</v>
      </c>
      <c r="C34" s="20">
        <f>IFERROR(C18+C19,0)</f>
        <v>0.15429999999999999</v>
      </c>
      <c r="D34" s="71"/>
      <c r="E34" s="71"/>
    </row>
    <row r="35" spans="1:5" ht="19.5" customHeight="1" x14ac:dyDescent="0.25">
      <c r="A35" s="33" t="s">
        <v>149</v>
      </c>
      <c r="C35" s="69">
        <f>IFERROR(C33*C34,0)</f>
        <v>2.3171451428571428E-2</v>
      </c>
    </row>
    <row r="36" spans="1:5" ht="19.5" customHeight="1" x14ac:dyDescent="0.25">
      <c r="A36" s="95" t="s">
        <v>150</v>
      </c>
      <c r="B36" s="95"/>
      <c r="C36" s="95"/>
    </row>
    <row r="37" spans="1:5" ht="19.5" customHeight="1" x14ac:dyDescent="0.25">
      <c r="A37" s="72" t="s">
        <v>151</v>
      </c>
      <c r="C37" s="69">
        <f>IFERROR((C6*C16-C17)/C6,0)</f>
        <v>0.15017142857142857</v>
      </c>
    </row>
    <row r="38" spans="1:5" ht="19.5" customHeight="1" x14ac:dyDescent="0.25">
      <c r="A38" s="72" t="s">
        <v>152</v>
      </c>
      <c r="C38" s="68">
        <f>C5*C37</f>
        <v>49556.571428571428</v>
      </c>
    </row>
    <row r="39" spans="1:5" ht="19.5" customHeight="1" x14ac:dyDescent="0.25">
      <c r="A39" s="72" t="s">
        <v>153</v>
      </c>
      <c r="C39" s="69">
        <f>((C6*C25-C26)/C6)*C27</f>
        <v>0</v>
      </c>
    </row>
    <row r="40" spans="1:5" ht="19.5" customHeight="1" x14ac:dyDescent="0.25">
      <c r="A40" s="72" t="s">
        <v>154</v>
      </c>
      <c r="C40" s="68">
        <f>C8*C39</f>
        <v>0</v>
      </c>
    </row>
    <row r="41" spans="1:5" ht="19.5" customHeight="1" x14ac:dyDescent="0.25">
      <c r="A41" s="72" t="s">
        <v>155</v>
      </c>
      <c r="C41" s="73">
        <f>((C23*C25-C26)/C23)*C27</f>
        <v>0</v>
      </c>
    </row>
    <row r="42" spans="1:5" ht="19.5" customHeight="1" x14ac:dyDescent="0.25">
      <c r="A42" s="72" t="s">
        <v>156</v>
      </c>
      <c r="C42" s="68">
        <f>C9*C41</f>
        <v>0</v>
      </c>
    </row>
    <row r="43" spans="1:5" ht="19.5" customHeight="1" x14ac:dyDescent="0.25">
      <c r="A43" s="72" t="s">
        <v>157</v>
      </c>
      <c r="C43" s="74">
        <f>((C6*C25-C26)/C6)*C29</f>
        <v>2.5529142857142856E-4</v>
      </c>
    </row>
    <row r="44" spans="1:5" ht="19.5" customHeight="1" x14ac:dyDescent="0.25">
      <c r="A44" s="72" t="s">
        <v>158</v>
      </c>
      <c r="C44" s="68">
        <f>C8*C43</f>
        <v>84.246171428571429</v>
      </c>
    </row>
    <row r="45" spans="1:5" ht="19.5" customHeight="1" x14ac:dyDescent="0.25">
      <c r="A45" s="72" t="s">
        <v>159</v>
      </c>
      <c r="C45" s="74">
        <f>((C23*C25-C26)/C23)*C29</f>
        <v>2.9766999999999999E-4</v>
      </c>
    </row>
    <row r="46" spans="1:5" ht="19.5" customHeight="1" x14ac:dyDescent="0.25">
      <c r="A46" s="72" t="s">
        <v>160</v>
      </c>
      <c r="C46" s="68">
        <f>C9*C45</f>
        <v>0</v>
      </c>
    </row>
    <row r="47" spans="1:5" ht="19.5" customHeight="1" x14ac:dyDescent="0.25">
      <c r="A47" s="72" t="s">
        <v>161</v>
      </c>
      <c r="C47" s="68">
        <f>$C$38+$C$40+$C$42+$C$44+$C$46+$C$80</f>
        <v>49640.817600000002</v>
      </c>
    </row>
    <row r="48" spans="1:5" ht="19.5" customHeight="1" x14ac:dyDescent="0.25">
      <c r="A48" s="72"/>
      <c r="C48" s="68"/>
    </row>
    <row r="49" spans="1:3" ht="19.5" customHeight="1" x14ac:dyDescent="0.25">
      <c r="A49" s="95" t="s">
        <v>162</v>
      </c>
      <c r="B49" s="95"/>
      <c r="C49" s="95"/>
    </row>
    <row r="50" spans="1:3" ht="19.5" customHeight="1" x14ac:dyDescent="0.25">
      <c r="A50" s="72" t="s">
        <v>163</v>
      </c>
      <c r="C50" s="69">
        <f>IFERROR((C6*C16-C17)/C6,0)</f>
        <v>0.15017142857142857</v>
      </c>
    </row>
    <row r="51" spans="1:3" ht="19.5" customHeight="1" x14ac:dyDescent="0.25">
      <c r="A51" s="72" t="s">
        <v>164</v>
      </c>
      <c r="C51" s="69">
        <f>C21</f>
        <v>0</v>
      </c>
    </row>
    <row r="52" spans="1:3" ht="19.5" customHeight="1" x14ac:dyDescent="0.25">
      <c r="A52" s="72" t="s">
        <v>165</v>
      </c>
      <c r="C52" s="69">
        <f>C20</f>
        <v>0.33500000000000002</v>
      </c>
    </row>
    <row r="53" spans="1:3" ht="19.5" customHeight="1" x14ac:dyDescent="0.25">
      <c r="A53" s="72" t="s">
        <v>166</v>
      </c>
      <c r="C53" s="69">
        <f>IFERROR(INDEX(Base_Dados!$L$3:$L$32,MATCH(C15,Base_Dados!$O$3:$O$32,0)),0)</f>
        <v>1.6999999999999999E-3</v>
      </c>
    </row>
    <row r="54" spans="1:3" ht="19.5" customHeight="1" x14ac:dyDescent="0.25">
      <c r="A54" s="72" t="s">
        <v>167</v>
      </c>
      <c r="C54" s="69">
        <f>C50*C51</f>
        <v>0</v>
      </c>
    </row>
    <row r="55" spans="1:3" ht="19.5" customHeight="1" x14ac:dyDescent="0.25">
      <c r="A55" s="72" t="s">
        <v>168</v>
      </c>
      <c r="C55" s="69">
        <f>C50*C52</f>
        <v>5.0307428571428572E-2</v>
      </c>
    </row>
    <row r="56" spans="1:3" ht="19.5" customHeight="1" x14ac:dyDescent="0.25">
      <c r="A56" s="72" t="s">
        <v>169</v>
      </c>
      <c r="C56" s="75">
        <f>C50*C53</f>
        <v>2.5529142857142856E-4</v>
      </c>
    </row>
    <row r="57" spans="1:3" ht="19.5" customHeight="1" x14ac:dyDescent="0.25">
      <c r="A57" s="72" t="s">
        <v>170</v>
      </c>
      <c r="C57" s="75">
        <f>C50-C54-C56</f>
        <v>0.14991613714285715</v>
      </c>
    </row>
    <row r="58" spans="1:3" ht="19.5" customHeight="1" x14ac:dyDescent="0.25">
      <c r="A58" s="72" t="s">
        <v>171</v>
      </c>
      <c r="C58" s="68">
        <f>C5*C57</f>
        <v>49472.32525714286</v>
      </c>
    </row>
    <row r="59" spans="1:3" ht="19.5" customHeight="1" x14ac:dyDescent="0.25">
      <c r="A59" s="72"/>
      <c r="C59" s="75"/>
    </row>
    <row r="60" spans="1:3" ht="19.5" customHeight="1" x14ac:dyDescent="0.25">
      <c r="A60" s="33" t="s">
        <v>172</v>
      </c>
      <c r="C60" s="69">
        <f>((C23*C25-C26)/C23)*C51</f>
        <v>0</v>
      </c>
    </row>
    <row r="61" spans="1:3" ht="19.5" customHeight="1" x14ac:dyDescent="0.25">
      <c r="A61" s="33" t="s">
        <v>173</v>
      </c>
      <c r="C61" s="68">
        <f>C5*C60</f>
        <v>0</v>
      </c>
    </row>
    <row r="62" spans="1:3" ht="19.5" customHeight="1" x14ac:dyDescent="0.25">
      <c r="A62" s="33" t="s">
        <v>174</v>
      </c>
      <c r="C62" s="75">
        <f>((C23*C25-C26)/C23)*C53</f>
        <v>2.9766999999999999E-4</v>
      </c>
    </row>
    <row r="63" spans="1:3" ht="19.5" customHeight="1" x14ac:dyDescent="0.25">
      <c r="A63" s="33" t="s">
        <v>175</v>
      </c>
      <c r="C63" s="68">
        <f>C5*C62</f>
        <v>98.231099999999998</v>
      </c>
    </row>
    <row r="64" spans="1:3" ht="19.5" customHeight="1" x14ac:dyDescent="0.25">
      <c r="A64" s="33"/>
      <c r="C64" s="75"/>
    </row>
    <row r="65" spans="1:3" ht="19.5" customHeight="1" x14ac:dyDescent="0.25">
      <c r="A65" s="33" t="s">
        <v>176</v>
      </c>
      <c r="C65" s="68">
        <f>C58+C61+C63</f>
        <v>49570.556357142857</v>
      </c>
    </row>
    <row r="66" spans="1:3" ht="19.5" customHeight="1" x14ac:dyDescent="0.25">
      <c r="A66" s="33"/>
      <c r="C66" s="68"/>
    </row>
    <row r="67" spans="1:3" ht="19.5" customHeight="1" x14ac:dyDescent="0.25">
      <c r="A67" s="95" t="s">
        <v>177</v>
      </c>
      <c r="B67" s="95"/>
      <c r="C67" s="95"/>
    </row>
    <row r="68" spans="1:3" ht="19.5" customHeight="1" x14ac:dyDescent="0.25">
      <c r="A68" s="33" t="s">
        <v>178</v>
      </c>
      <c r="C68" s="69">
        <f>C33</f>
        <v>0.15017142857142857</v>
      </c>
    </row>
    <row r="69" spans="1:3" ht="19.5" customHeight="1" x14ac:dyDescent="0.25">
      <c r="A69" s="33" t="s">
        <v>179</v>
      </c>
      <c r="C69" s="69">
        <f>((C6*C25-C26)/C6)*C27</f>
        <v>0</v>
      </c>
    </row>
    <row r="70" spans="1:3" ht="19.5" customHeight="1" x14ac:dyDescent="0.25">
      <c r="A70" s="33" t="s">
        <v>180</v>
      </c>
      <c r="C70" s="69">
        <f>((C6*C25-C26)/C6)*C28</f>
        <v>5.0307428571428572E-2</v>
      </c>
    </row>
    <row r="71" spans="1:3" ht="19.5" customHeight="1" x14ac:dyDescent="0.25">
      <c r="A71" s="33" t="s">
        <v>181</v>
      </c>
      <c r="C71" s="75">
        <f>((C6*C25-C26)/C6)*C29</f>
        <v>2.5529142857142856E-4</v>
      </c>
    </row>
    <row r="72" spans="1:3" ht="19.5" customHeight="1" x14ac:dyDescent="0.25">
      <c r="A72" s="33" t="s">
        <v>182</v>
      </c>
      <c r="C72" s="69">
        <f>C68+C69+C70+C71</f>
        <v>0.20073414857142854</v>
      </c>
    </row>
    <row r="73" spans="1:3" ht="19.5" customHeight="1" x14ac:dyDescent="0.25">
      <c r="A73" s="33"/>
      <c r="C73" s="68"/>
    </row>
    <row r="74" spans="1:3" ht="19.5" customHeight="1" x14ac:dyDescent="0.25">
      <c r="A74" s="33" t="s">
        <v>176</v>
      </c>
      <c r="C74" s="68">
        <f>C5*C72</f>
        <v>66242.26902857142</v>
      </c>
    </row>
    <row r="75" spans="1:3" ht="19.5" customHeight="1" x14ac:dyDescent="0.25">
      <c r="A75" s="33"/>
      <c r="C75" s="68"/>
    </row>
    <row r="76" spans="1:3" ht="19.5" customHeight="1" x14ac:dyDescent="0.25">
      <c r="A76" s="33" t="s">
        <v>183</v>
      </c>
      <c r="C76" s="75">
        <f>IF(AND($C$11="Sim",$C$12="Sim"),IFERROR((($C$6*$C$25-$C$26)/$C$6)*$C$28,0),0)</f>
        <v>0</v>
      </c>
    </row>
    <row r="77" spans="1:3" ht="19.5" customHeight="1" x14ac:dyDescent="0.25">
      <c r="A77" s="33" t="s">
        <v>184</v>
      </c>
      <c r="C77" s="75">
        <f>IF(AND($C$11="Sim",$C$12="Sim"),IFERROR((($C$23*$C$25-$C$26)/$C$23)*$C$28,0),0)</f>
        <v>0</v>
      </c>
    </row>
    <row r="78" spans="1:3" ht="19.5" customHeight="1" x14ac:dyDescent="0.25">
      <c r="A78" s="33" t="s">
        <v>185</v>
      </c>
      <c r="C78" s="68">
        <f>IF(AND($C$11="Sim",$C$12="Sim"),$C$8*$C$76,0)</f>
        <v>0</v>
      </c>
    </row>
    <row r="79" spans="1:3" ht="19.5" customHeight="1" x14ac:dyDescent="0.25">
      <c r="A79" s="33" t="s">
        <v>186</v>
      </c>
      <c r="C79" s="68">
        <f>IF(AND($C$11="Sim",$C$12="Sim"),$C$9*$C$77,0)</f>
        <v>0</v>
      </c>
    </row>
    <row r="80" spans="1:3" ht="19.5" customHeight="1" x14ac:dyDescent="0.25">
      <c r="A80" s="33" t="s">
        <v>187</v>
      </c>
      <c r="C80" s="68">
        <f>IF(AND($C$11="Sim",$C$12="Sim"),$C$78+$C$79,0)</f>
        <v>0</v>
      </c>
    </row>
    <row r="81" spans="1:3" ht="19.5" customHeight="1" x14ac:dyDescent="0.25">
      <c r="A81" s="33"/>
      <c r="C81" s="68"/>
    </row>
    <row r="82" spans="1:3" ht="19.5" customHeight="1" x14ac:dyDescent="0.25">
      <c r="A82" s="33"/>
      <c r="C82" s="68"/>
    </row>
    <row r="83" spans="1:3" ht="19.5" customHeight="1" x14ac:dyDescent="0.25">
      <c r="A83" s="95" t="s">
        <v>188</v>
      </c>
      <c r="B83" s="95"/>
      <c r="C83" s="95"/>
    </row>
    <row r="84" spans="1:3" ht="19.5" customHeight="1" x14ac:dyDescent="0.25">
      <c r="A84" s="33" t="s">
        <v>19</v>
      </c>
      <c r="C84" s="68">
        <f>IF(Dashboard!C15=0,0,IF(AND($C$11="Sim",$C$12="Não"),Dashboard!C15*$C$72,IF(AND($C$11="Não",$C$12="Sim"),Dashboard!C15*($C$57+$C$60+$C$62),IF(AND($C$11="Sim",$C$12="Sim"),Dashboard!C15*$C$37+IFERROR(Dashboard!C15/$C$5,0)*($C$40+$C$42+$C$44+$C$46+$C$80),Dashboard!C15*$C$33))))</f>
        <v>24778.285714285714</v>
      </c>
    </row>
    <row r="85" spans="1:3" ht="19.5" customHeight="1" x14ac:dyDescent="0.25">
      <c r="A85" s="33" t="s">
        <v>21</v>
      </c>
      <c r="C85" s="68">
        <f>IF(Dashboard!C16=0,0,IF(AND($C$11="Sim",$C$12="Não"),Dashboard!C16*($C$68+$C$70+$C$71),Dashboard!C16*$C$33*(1-$C$21)))</f>
        <v>0</v>
      </c>
    </row>
    <row r="86" spans="1:3" ht="19.5" customHeight="1" x14ac:dyDescent="0.25">
      <c r="A86" s="33" t="s">
        <v>189</v>
      </c>
      <c r="C86" s="68">
        <f>IF(Dashboard!C17=0,0,IF(AND($C$11="Sim",$C$12="Não"),Dashboard!C17*($C$68*(1-$C$18-$C$19)+$C$69+$C$70+$C$71),Dashboard!C17*$C$33*(1-$C$19-$C$18)))</f>
        <v>0</v>
      </c>
    </row>
    <row r="87" spans="1:3" ht="19.5" customHeight="1" x14ac:dyDescent="0.25">
      <c r="A87" s="33" t="s">
        <v>190</v>
      </c>
      <c r="C87" s="68">
        <f>IF(Dashboard!C18=0,0,IF(AND($C$11="Sim",$C$12="Não"),Dashboard!C18*($C$68*(1-$C$18-$C$19)+$C$70+$C$71),Dashboard!C18*$C$33*(1-$C$21-$C$19-$C$18)))</f>
        <v>0</v>
      </c>
    </row>
    <row r="88" spans="1:3" ht="19.5" customHeight="1" x14ac:dyDescent="0.25">
      <c r="A88" s="33" t="s">
        <v>26</v>
      </c>
      <c r="C88" s="68">
        <f>IF(Dashboard!C19=0,0,Dashboard!C19*$C$116)</f>
        <v>0</v>
      </c>
    </row>
    <row r="89" spans="1:3" ht="19.5" customHeight="1" x14ac:dyDescent="0.25">
      <c r="A89" s="33" t="s">
        <v>28</v>
      </c>
      <c r="C89" s="68">
        <f>IF(Dashboard!C20=0,0,Dashboard!C20*$C$116)</f>
        <v>0</v>
      </c>
    </row>
    <row r="90" spans="1:3" ht="19.5" customHeight="1" x14ac:dyDescent="0.25">
      <c r="A90" s="33"/>
      <c r="C90" s="68"/>
    </row>
    <row r="91" spans="1:3" ht="19.5" customHeight="1" x14ac:dyDescent="0.25">
      <c r="A91" s="33" t="s">
        <v>191</v>
      </c>
      <c r="C91" s="68">
        <f>SUM(C84:C89)</f>
        <v>24778.285714285714</v>
      </c>
    </row>
    <row r="92" spans="1:3" ht="19.5" customHeight="1" x14ac:dyDescent="0.25">
      <c r="A92" s="33" t="s">
        <v>192</v>
      </c>
      <c r="C92" s="68">
        <f>Dashboard!H31</f>
        <v>24778.285714285714</v>
      </c>
    </row>
    <row r="93" spans="1:3" ht="19.5" customHeight="1" x14ac:dyDescent="0.25">
      <c r="A93" s="33"/>
      <c r="C93" s="68"/>
    </row>
    <row r="94" spans="1:3" ht="19.5" customHeight="1" x14ac:dyDescent="0.25">
      <c r="A94" s="33" t="s">
        <v>193</v>
      </c>
      <c r="C94" s="68">
        <f>C91+C92</f>
        <v>49556.571428571428</v>
      </c>
    </row>
    <row r="95" spans="1:3" ht="19.5" customHeight="1" x14ac:dyDescent="0.25">
      <c r="A95" s="33" t="s">
        <v>194</v>
      </c>
      <c r="C95" s="68" t="str">
        <f>IF(AND($C$11="Não",$C$12="Não"),"Sem excesso de sublimite",IF(AND($C$11="Sim",$C$12="Não"),"RBA abaixo do sublimite e RBT12 na 6ª faixa",IF(AND($C$11="Não",$C$12="Sim"),"RBA acima do sublimite e RBT12 na 5ª faixa","RBA acima do sublimite e RBT12 na 6ª faixa")))</f>
        <v>Sem excesso de sublimite</v>
      </c>
    </row>
    <row r="96" spans="1:3" ht="19.5" customHeight="1" x14ac:dyDescent="0.25">
      <c r="A96" s="33" t="s">
        <v>195</v>
      </c>
      <c r="C96" s="68">
        <f>$C$94</f>
        <v>49556.571428571428</v>
      </c>
    </row>
    <row r="97" spans="1:3" ht="19.5" customHeight="1" x14ac:dyDescent="0.25">
      <c r="C97" s="68"/>
    </row>
    <row r="98" spans="1:3" ht="19.5" customHeight="1" x14ac:dyDescent="0.25">
      <c r="A98" s="33"/>
      <c r="C98" s="68"/>
    </row>
    <row r="99" spans="1:3" ht="19.5" customHeight="1" x14ac:dyDescent="0.25">
      <c r="A99" s="95" t="s">
        <v>196</v>
      </c>
      <c r="B99" s="95"/>
      <c r="C99" s="95"/>
    </row>
    <row r="100" spans="1:3" ht="19.5" customHeight="1" x14ac:dyDescent="0.25">
      <c r="A100" s="33" t="s">
        <v>105</v>
      </c>
      <c r="C100" s="68" t="str">
        <f>IFERROR(INDEX(Base_Dados!$R$3:$R$7,MATCH($C$4,Base_Dados!$Q$3:$Q$7,0)),"Não")</f>
        <v>Sim</v>
      </c>
    </row>
    <row r="101" spans="1:3" ht="19.5" customHeight="1" x14ac:dyDescent="0.25">
      <c r="A101" s="33" t="s">
        <v>106</v>
      </c>
      <c r="C101" s="69">
        <f>IFERROR(INDEX(Base_Dados!$S$3:$S$7,MATCH($C$4,Base_Dados!$Q$3:$Q$7,0)),0)</f>
        <v>0.05</v>
      </c>
    </row>
    <row r="102" spans="1:3" ht="19.5" customHeight="1" x14ac:dyDescent="0.25">
      <c r="A102" s="33" t="s">
        <v>107</v>
      </c>
      <c r="C102" s="69">
        <f>IFERROR(INDEX(Base_Dados!$T$3:$T$7,MATCH($C$4,Base_Dados!$Q$3:$Q$7,0)),0)</f>
        <v>6.0199999999999997E-2</v>
      </c>
    </row>
    <row r="103" spans="1:3" ht="19.5" customHeight="1" x14ac:dyDescent="0.25">
      <c r="A103" s="33" t="s">
        <v>108</v>
      </c>
      <c r="C103" s="69">
        <f>IFERROR(INDEX(Base_Dados!$U$3:$U$7,MATCH($C$4,Base_Dados!$Q$3:$Q$7,0)),0)</f>
        <v>5.2600000000000001E-2</v>
      </c>
    </row>
    <row r="104" spans="1:3" ht="19.5" customHeight="1" x14ac:dyDescent="0.25">
      <c r="A104" s="33" t="s">
        <v>109</v>
      </c>
      <c r="C104" s="69">
        <f>IFERROR(INDEX(Base_Dados!$V$3:$V$7,MATCH($C$4,Base_Dados!$Q$3:$Q$7,0)),0)</f>
        <v>0.2346</v>
      </c>
    </row>
    <row r="105" spans="1:3" ht="19.5" customHeight="1" x14ac:dyDescent="0.25">
      <c r="A105" s="33" t="s">
        <v>110</v>
      </c>
      <c r="C105" s="69">
        <f>IFERROR(INDEX(Base_Dados!$W$3:$W$7,MATCH($C$4,Base_Dados!$Q$3:$Q$7,0)),0)</f>
        <v>0.65259999999999996</v>
      </c>
    </row>
    <row r="106" spans="1:3" ht="19.5" customHeight="1" x14ac:dyDescent="0.25">
      <c r="A106" s="33"/>
      <c r="C106" s="69"/>
    </row>
    <row r="107" spans="1:3" ht="19.5" customHeight="1" x14ac:dyDescent="0.25">
      <c r="A107" s="33" t="s">
        <v>197</v>
      </c>
      <c r="C107" s="69">
        <f>IF(AND($C$11="Sim",$C$12="Não"),$C$70,IF(AND($C$11="Não",$C$12="Sim"),$C$55,IF(AND($C$11="Sim",$C$12="Sim"),IFERROR(($C$8*$C$76+$C$9*$C$77)/$C$5,0),IFERROR($C$33*$C$20,0))))</f>
        <v>5.0307428571428572E-2</v>
      </c>
    </row>
    <row r="108" spans="1:3" ht="19.5" customHeight="1" x14ac:dyDescent="0.25">
      <c r="A108" s="33" t="s">
        <v>198</v>
      </c>
      <c r="C108" s="69">
        <f>IF(AND($C$100="Sim",$C$107&gt;$C$101),$C$107-$C$101,0)</f>
        <v>3.0742857142856961E-4</v>
      </c>
    </row>
    <row r="109" spans="1:3" ht="19.5" customHeight="1" x14ac:dyDescent="0.25">
      <c r="A109" s="33" t="s">
        <v>199</v>
      </c>
      <c r="C109" s="69">
        <f>IF($C$108&gt;0,$C$101,$C$107)</f>
        <v>0.05</v>
      </c>
    </row>
    <row r="110" spans="1:3" ht="19.5" customHeight="1" x14ac:dyDescent="0.25">
      <c r="A110" s="33" t="s">
        <v>200</v>
      </c>
      <c r="C110" s="69">
        <f>$C$108*$C$102</f>
        <v>1.8507199999999889E-5</v>
      </c>
    </row>
    <row r="111" spans="1:3" ht="19.5" customHeight="1" x14ac:dyDescent="0.25">
      <c r="A111" s="33" t="s">
        <v>201</v>
      </c>
      <c r="C111" s="69">
        <f>$C$108*$C$103</f>
        <v>1.6170742857142762E-5</v>
      </c>
    </row>
    <row r="112" spans="1:3" ht="19.5" customHeight="1" x14ac:dyDescent="0.25">
      <c r="A112" s="33" t="s">
        <v>202</v>
      </c>
      <c r="C112" s="69">
        <f>$C$108*$C$104</f>
        <v>7.2122742857142429E-5</v>
      </c>
    </row>
    <row r="113" spans="1:3" ht="19.5" customHeight="1" x14ac:dyDescent="0.25">
      <c r="A113" s="33" t="s">
        <v>203</v>
      </c>
      <c r="C113" s="69">
        <f>$C$108*$C$105</f>
        <v>2.0062788571428451E-4</v>
      </c>
    </row>
    <row r="114" spans="1:3" ht="19.5" customHeight="1" x14ac:dyDescent="0.25">
      <c r="A114" s="33" t="s">
        <v>204</v>
      </c>
      <c r="C114" s="69">
        <f>SUM($C$110:$C$113)</f>
        <v>3.0742857142856961E-4</v>
      </c>
    </row>
    <row r="115" spans="1:3" ht="19.5" customHeight="1" x14ac:dyDescent="0.25">
      <c r="A115" s="33" t="s">
        <v>205</v>
      </c>
      <c r="C115" s="69">
        <f>$C$35+$C$112</f>
        <v>2.3243574171428569E-2</v>
      </c>
    </row>
    <row r="116" spans="1:3" ht="19.5" customHeight="1" x14ac:dyDescent="0.25">
      <c r="A116" s="33" t="s">
        <v>206</v>
      </c>
      <c r="C116" s="69">
        <f>IF(AND($C$11="Sim",$C$12="Não"),$C$72-$C$109,IF(AND($C$11="Não",$C$12="Sim"),($C$57+$C$60+$C$62)-$C$109,IF(AND($C$11="Sim",$C$12="Sim"),IFERROR($C$47/$C$5,0)-$C$109,$C$33-$C$109)))</f>
        <v>0.10017142857142856</v>
      </c>
    </row>
    <row r="117" spans="1:3" ht="19.5" customHeight="1" x14ac:dyDescent="0.25">
      <c r="A117" s="33"/>
      <c r="C117" s="68"/>
    </row>
    <row r="118" spans="1:3" ht="19.5" customHeight="1" x14ac:dyDescent="0.25">
      <c r="A118" s="33"/>
      <c r="C118" s="68"/>
    </row>
    <row r="119" spans="1:3" ht="19.5" customHeight="1" x14ac:dyDescent="0.25">
      <c r="A119" s="33"/>
      <c r="C119" s="69"/>
    </row>
    <row r="120" spans="1:3" ht="18" customHeight="1" x14ac:dyDescent="0.25">
      <c r="A120" s="95" t="s">
        <v>207</v>
      </c>
      <c r="B120" s="95"/>
      <c r="C120" s="95"/>
    </row>
    <row r="121" spans="1:3" ht="19.5" customHeight="1" x14ac:dyDescent="0.25">
      <c r="A121" s="76" t="s">
        <v>208</v>
      </c>
      <c r="C121" s="77">
        <f>Dashboard!H32</f>
        <v>49556.571428571428</v>
      </c>
    </row>
    <row r="122" spans="1:3" ht="19.5" customHeight="1" x14ac:dyDescent="0.25">
      <c r="A122" s="76" t="s">
        <v>209</v>
      </c>
      <c r="C122" s="77">
        <f>IFERROR((Dashboard!C15+Dashboard!C16+Dashboard!C19+Dashboard!C20)*$C$115,0)</f>
        <v>3835.1897382857137</v>
      </c>
    </row>
    <row r="123" spans="1:3" ht="15" customHeight="1" x14ac:dyDescent="0.25">
      <c r="C123" s="4"/>
    </row>
  </sheetData>
  <sheetProtection sheet="1" formatCells="0" formatColumns="0" formatRows="0" insertColumns="0" insertRows="0" deleteColumns="0" deleteRows="0" sort="0" pivotTables="0"/>
  <mergeCells count="11">
    <mergeCell ref="A120:C120"/>
    <mergeCell ref="A36:C36"/>
    <mergeCell ref="A49:C49"/>
    <mergeCell ref="A67:C67"/>
    <mergeCell ref="A83:C83"/>
    <mergeCell ref="A99:C99"/>
    <mergeCell ref="A1:C1"/>
    <mergeCell ref="A2:C2"/>
    <mergeCell ref="A3:C3"/>
    <mergeCell ref="A13:C13"/>
    <mergeCell ref="A32:C3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0"/>
  <sheetViews>
    <sheetView showGridLines="0" topLeftCell="A12" zoomScaleNormal="100" workbookViewId="0">
      <selection activeCell="G8" sqref="G8"/>
    </sheetView>
  </sheetViews>
  <sheetFormatPr defaultColWidth="8.7109375" defaultRowHeight="15" x14ac:dyDescent="0.25"/>
  <cols>
    <col min="1" max="1" width="46" customWidth="1"/>
    <col min="2" max="2" width="4" customWidth="1"/>
    <col min="3" max="3" width="24" customWidth="1"/>
  </cols>
  <sheetData>
    <row r="1" spans="1:3" ht="25.5" customHeight="1" x14ac:dyDescent="0.25">
      <c r="A1" s="103" t="s">
        <v>210</v>
      </c>
      <c r="B1" s="103"/>
      <c r="C1" s="103"/>
    </row>
    <row r="2" spans="1:3" ht="18" customHeight="1" x14ac:dyDescent="0.25">
      <c r="A2" s="104" t="s">
        <v>211</v>
      </c>
      <c r="B2" s="104"/>
      <c r="C2" s="104"/>
    </row>
    <row r="3" spans="1:3" ht="18" customHeight="1" x14ac:dyDescent="0.25">
      <c r="A3" s="105" t="s">
        <v>212</v>
      </c>
      <c r="B3" s="105"/>
      <c r="C3" s="105"/>
    </row>
    <row r="4" spans="1:3" ht="19.5" customHeight="1" x14ac:dyDescent="0.25">
      <c r="A4" s="78" t="s">
        <v>213</v>
      </c>
      <c r="C4" s="79">
        <f>Dashboard!F9</f>
        <v>8.7999999999999995E-2</v>
      </c>
    </row>
    <row r="5" spans="1:3" ht="19.5" customHeight="1" x14ac:dyDescent="0.25">
      <c r="A5" s="78" t="s">
        <v>214</v>
      </c>
      <c r="C5" s="80">
        <f>Dashboard!J15</f>
        <v>14520</v>
      </c>
    </row>
    <row r="6" spans="1:3" ht="19.5" customHeight="1" x14ac:dyDescent="0.25">
      <c r="A6" s="81" t="s">
        <v>215</v>
      </c>
      <c r="C6" s="82">
        <f>Dashboard!J16</f>
        <v>0</v>
      </c>
    </row>
    <row r="7" spans="1:3" ht="19.5" customHeight="1" x14ac:dyDescent="0.25">
      <c r="A7" s="78" t="s">
        <v>216</v>
      </c>
      <c r="C7" s="80">
        <f>Dashboard!J17</f>
        <v>0</v>
      </c>
    </row>
    <row r="8" spans="1:3" ht="19.5" customHeight="1" x14ac:dyDescent="0.25">
      <c r="A8" s="81" t="s">
        <v>217</v>
      </c>
      <c r="C8" s="82">
        <f>Dashboard!J18</f>
        <v>0</v>
      </c>
    </row>
    <row r="9" spans="1:3" ht="19.5" customHeight="1" x14ac:dyDescent="0.25">
      <c r="A9" s="78" t="s">
        <v>218</v>
      </c>
      <c r="C9" s="80">
        <f>Dashboard!J19</f>
        <v>0</v>
      </c>
    </row>
    <row r="10" spans="1:3" ht="19.5" customHeight="1" x14ac:dyDescent="0.25">
      <c r="A10" s="81" t="s">
        <v>219</v>
      </c>
      <c r="C10" s="82">
        <f>Dashboard!J20</f>
        <v>0</v>
      </c>
    </row>
    <row r="11" spans="1:3" ht="19.5" customHeight="1" x14ac:dyDescent="0.25">
      <c r="A11" s="78" t="s">
        <v>220</v>
      </c>
      <c r="C11" s="80">
        <f>Dashboard!J24</f>
        <v>0</v>
      </c>
    </row>
    <row r="12" spans="1:3" ht="19.5" customHeight="1" x14ac:dyDescent="0.25">
      <c r="A12" s="81" t="s">
        <v>221</v>
      </c>
      <c r="C12" s="82">
        <f>Dashboard!J25</f>
        <v>0</v>
      </c>
    </row>
    <row r="13" spans="1:3" ht="19.5" customHeight="1" x14ac:dyDescent="0.25">
      <c r="A13" s="78" t="s">
        <v>222</v>
      </c>
      <c r="C13" s="80">
        <f>Dashboard!J26</f>
        <v>0</v>
      </c>
    </row>
    <row r="14" spans="1:3" ht="19.5" customHeight="1" x14ac:dyDescent="0.25">
      <c r="A14" s="81" t="s">
        <v>223</v>
      </c>
      <c r="C14" s="82">
        <f>Dashboard!J27</f>
        <v>0</v>
      </c>
    </row>
    <row r="15" spans="1:3" ht="19.5" customHeight="1" x14ac:dyDescent="0.25">
      <c r="A15" s="78" t="s">
        <v>224</v>
      </c>
      <c r="C15" s="80">
        <f>Dashboard!J28</f>
        <v>0</v>
      </c>
    </row>
    <row r="16" spans="1:3" ht="19.5" customHeight="1" x14ac:dyDescent="0.25">
      <c r="A16" s="81" t="s">
        <v>225</v>
      </c>
      <c r="C16" s="82">
        <f>Dashboard!J29</f>
        <v>0</v>
      </c>
    </row>
    <row r="17" spans="1:4" ht="18" customHeight="1" x14ac:dyDescent="0.25">
      <c r="A17" s="78" t="s">
        <v>226</v>
      </c>
      <c r="C17" s="80">
        <f>Dashboard!J30</f>
        <v>0</v>
      </c>
    </row>
    <row r="18" spans="1:4" ht="19.5" customHeight="1" x14ac:dyDescent="0.25">
      <c r="A18" s="17"/>
      <c r="C18" s="67"/>
    </row>
    <row r="19" spans="1:4" ht="18" customHeight="1" x14ac:dyDescent="0.25">
      <c r="A19" s="81" t="s">
        <v>227</v>
      </c>
      <c r="C19" s="82">
        <f>Dashboard!J32</f>
        <v>14520</v>
      </c>
    </row>
    <row r="20" spans="1:4" ht="19.5" customHeight="1" x14ac:dyDescent="0.25">
      <c r="A20" s="105" t="s">
        <v>228</v>
      </c>
      <c r="B20" s="105"/>
      <c r="C20" s="105"/>
    </row>
    <row r="21" spans="1:4" ht="19.5" customHeight="1" x14ac:dyDescent="0.25">
      <c r="A21" s="81" t="s">
        <v>229</v>
      </c>
      <c r="C21" s="82">
        <f>Dashboard!J55</f>
        <v>400.21519999999987</v>
      </c>
    </row>
    <row r="22" spans="1:4" ht="18" customHeight="1" x14ac:dyDescent="0.25">
      <c r="A22" s="105" t="s">
        <v>230</v>
      </c>
      <c r="B22" s="105"/>
      <c r="C22" s="105"/>
    </row>
    <row r="23" spans="1:4" ht="19.5" customHeight="1" x14ac:dyDescent="0.25">
      <c r="A23" s="83" t="s">
        <v>231</v>
      </c>
      <c r="C23" s="84">
        <f>MAX(0,C19-C21)</f>
        <v>14119.784799999999</v>
      </c>
      <c r="D23" s="85"/>
    </row>
    <row r="24" spans="1:4" ht="19.5" customHeight="1" x14ac:dyDescent="0.25">
      <c r="A24" s="78" t="s">
        <v>232</v>
      </c>
      <c r="C24" s="80">
        <f>MAX(0,C21-C19)</f>
        <v>0</v>
      </c>
    </row>
    <row r="25" spans="1:4" ht="19.5" customHeight="1" x14ac:dyDescent="0.25">
      <c r="A25" s="105" t="s">
        <v>233</v>
      </c>
      <c r="B25" s="105"/>
      <c r="C25" s="105"/>
    </row>
    <row r="26" spans="1:4" ht="18" customHeight="1" x14ac:dyDescent="0.25">
      <c r="A26" s="78" t="s">
        <v>234</v>
      </c>
      <c r="C26" s="80">
        <f>Calc_Convencional!C121</f>
        <v>49556.571428571428</v>
      </c>
    </row>
    <row r="27" spans="1:4" ht="19.5" customHeight="1" x14ac:dyDescent="0.25">
      <c r="A27" s="81" t="s">
        <v>235</v>
      </c>
      <c r="C27" s="82">
        <f>Calc_Convencional!C122</f>
        <v>3835.1897382857137</v>
      </c>
    </row>
    <row r="28" spans="1:4" ht="15" customHeight="1" x14ac:dyDescent="0.25">
      <c r="A28" s="83" t="s">
        <v>236</v>
      </c>
      <c r="C28" s="84">
        <f>MAX(0,C26-C27)</f>
        <v>45721.381690285714</v>
      </c>
    </row>
    <row r="29" spans="1:4" ht="15" customHeight="1" x14ac:dyDescent="0.25">
      <c r="A29" s="105" t="s">
        <v>237</v>
      </c>
      <c r="B29" s="105"/>
      <c r="C29" s="105"/>
    </row>
    <row r="30" spans="1:4" ht="15" customHeight="1" x14ac:dyDescent="0.25">
      <c r="A30" s="83" t="s">
        <v>238</v>
      </c>
      <c r="C30" s="84">
        <f>C28+C23</f>
        <v>59841.166490285716</v>
      </c>
    </row>
  </sheetData>
  <sheetProtection sheet="1"/>
  <mergeCells count="7">
    <mergeCell ref="A25:C25"/>
    <mergeCell ref="A29:C29"/>
    <mergeCell ref="A1:C1"/>
    <mergeCell ref="A2:C2"/>
    <mergeCell ref="A3:C3"/>
    <mergeCell ref="A20:C20"/>
    <mergeCell ref="A22:C2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Dashboard</vt:lpstr>
      <vt:lpstr>Base_Dados</vt:lpstr>
      <vt:lpstr>Calc_Convencional</vt:lpstr>
      <vt:lpstr>Calc_Hibrido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Marcelo Rabelo Henrique</cp:lastModifiedBy>
  <cp:revision>0</cp:revision>
  <dcterms:created xsi:type="dcterms:W3CDTF">2026-04-16T21:20:06Z</dcterms:created>
  <dcterms:modified xsi:type="dcterms:W3CDTF">2026-09-10T00:47:23Z</dcterms:modified>
  <dc:language>en-US</dc:language>
</cp:coreProperties>
</file>